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715" windowHeight="9540"/>
  </bookViews>
  <sheets>
    <sheet name="Résumé" sheetId="1" r:id="rId1"/>
    <sheet name="Graphique" sheetId="2" r:id="rId2"/>
  </sheets>
  <definedNames>
    <definedName name="Amort_Direct">Résumé!$D$23</definedName>
    <definedName name="Amort_Total">Résumé!$D$12</definedName>
    <definedName name="Durée_Amort">Résumé!$D$13</definedName>
    <definedName name="F_Propres">Résumé!$D$8</definedName>
    <definedName name="H1_0">Résumé!$D$28</definedName>
    <definedName name="H1_1">Résumé!$D$29</definedName>
    <definedName name="H1_10">Résumé!$D$38</definedName>
    <definedName name="H1_11">Résumé!$D$39</definedName>
    <definedName name="H1_12">Résumé!$D$40</definedName>
    <definedName name="H1_13">Résumé!$D$41</definedName>
    <definedName name="H1_14">Résumé!$D$42</definedName>
    <definedName name="H1_15">Résumé!$D$43</definedName>
    <definedName name="H1_16">Résumé!$D$44</definedName>
    <definedName name="H1_17">Résumé!$D$45</definedName>
    <definedName name="H1_18">Résumé!$D$46</definedName>
    <definedName name="H1_19">Résumé!$D$47</definedName>
    <definedName name="H1_2">Résumé!$D$30</definedName>
    <definedName name="H1_20">Résumé!$D$48</definedName>
    <definedName name="H1_21">Résumé!$D$49</definedName>
    <definedName name="H1_22">Résumé!$D$50</definedName>
    <definedName name="H1_23">Résumé!$D$51</definedName>
    <definedName name="H1_24">Résumé!$D$52</definedName>
    <definedName name="H1_25">Résumé!$D$53</definedName>
    <definedName name="H1_26">Résumé!$D$54</definedName>
    <definedName name="H1_27">Résumé!$D$55</definedName>
    <definedName name="H1_28">Résumé!$D$56</definedName>
    <definedName name="H1_29">Résumé!$D$57</definedName>
    <definedName name="H1_3">Résumé!$D$31</definedName>
    <definedName name="H1_30">Résumé!$D$58</definedName>
    <definedName name="H1_31">Résumé!$D$59</definedName>
    <definedName name="H1_32">Résumé!$D$60</definedName>
    <definedName name="H1_33">Résumé!$D$61</definedName>
    <definedName name="H1_34">Résumé!$D$62</definedName>
    <definedName name="H1_35">Résumé!$D$63</definedName>
    <definedName name="H1_36">Résumé!$D$64</definedName>
    <definedName name="H1_37">Résumé!$D$65</definedName>
    <definedName name="H1_38">Résumé!$D$66</definedName>
    <definedName name="H1_39">Résumé!$D$67</definedName>
    <definedName name="H1_4">Résumé!$D$32</definedName>
    <definedName name="H1_40">Résumé!$D$68</definedName>
    <definedName name="H1_41">Résumé!$D$69</definedName>
    <definedName name="H1_42">Résumé!$D$70</definedName>
    <definedName name="H1_43">Résumé!$D$71</definedName>
    <definedName name="H1_44">Résumé!$D$72</definedName>
    <definedName name="H1_45">Résumé!$D$73</definedName>
    <definedName name="H1_46">Résumé!$D$74</definedName>
    <definedName name="H1_47">Résumé!$D$75</definedName>
    <definedName name="H1_48">Résumé!$D$76</definedName>
    <definedName name="H1_49">Résumé!$D$77</definedName>
    <definedName name="H1_5">Résumé!$D$33</definedName>
    <definedName name="H1_50">Résumé!$D$78</definedName>
    <definedName name="H1_6">Résumé!$D$34</definedName>
    <definedName name="H1_7">Résumé!$D$35</definedName>
    <definedName name="H1_8">Résumé!$D$36</definedName>
    <definedName name="H1_9">Résumé!$D$37</definedName>
    <definedName name="H2_0">Résumé!$E$28</definedName>
    <definedName name="H2_1">Résumé!$E$29</definedName>
    <definedName name="H2_10">Résumé!$E$38</definedName>
    <definedName name="H2_11">Résumé!$E$39</definedName>
    <definedName name="H2_12">Résumé!$E$40</definedName>
    <definedName name="H2_13">Résumé!$E$41</definedName>
    <definedName name="H2_14">Résumé!$E$42</definedName>
    <definedName name="H2_15">Résumé!$E$43</definedName>
    <definedName name="H2_16">Résumé!$E$44</definedName>
    <definedName name="H2_17">Résumé!$E$45</definedName>
    <definedName name="H2_18">Résumé!$E$46</definedName>
    <definedName name="H2_19">Résumé!$E$47</definedName>
    <definedName name="H2_2">Résumé!$E$30</definedName>
    <definedName name="H2_20">Résumé!$E$48</definedName>
    <definedName name="H2_21">Résumé!$E$49</definedName>
    <definedName name="H2_22">Résumé!$E$50</definedName>
    <definedName name="H2_23">Résumé!$E$51</definedName>
    <definedName name="H2_24">Résumé!$E$52</definedName>
    <definedName name="H2_25">Résumé!$E$53</definedName>
    <definedName name="H2_26">Résumé!$E$54</definedName>
    <definedName name="H2_27">Résumé!$E$55</definedName>
    <definedName name="H2_28">Résumé!$E$56</definedName>
    <definedName name="H2_29">Résumé!$E$57</definedName>
    <definedName name="H2_3">Résumé!$E$31</definedName>
    <definedName name="H2_30">Résumé!$E$58</definedName>
    <definedName name="H2_31">Résumé!$E$59</definedName>
    <definedName name="H2_32">Résumé!$E$60</definedName>
    <definedName name="H2_33">Résumé!$E$61</definedName>
    <definedName name="H2_34">Résumé!$E$62</definedName>
    <definedName name="H2_35">Résumé!$E$63</definedName>
    <definedName name="H2_36">Résumé!$E$64</definedName>
    <definedName name="H2_37">Résumé!$E$65</definedName>
    <definedName name="H2_38">Résumé!$E$66</definedName>
    <definedName name="H2_39">Résumé!$E$67</definedName>
    <definedName name="H2_4">Résumé!$E$32</definedName>
    <definedName name="H2_40">Résumé!$E$68</definedName>
    <definedName name="H2_41">Résumé!$E$69</definedName>
    <definedName name="H2_42">Résumé!$E$70</definedName>
    <definedName name="H2_43">Résumé!$E$71</definedName>
    <definedName name="H2_44">Résumé!$E$72</definedName>
    <definedName name="H2_45">Résumé!$E$73</definedName>
    <definedName name="H2_46">Résumé!$E$74</definedName>
    <definedName name="H2_47">Résumé!$E$75</definedName>
    <definedName name="H2_48">Résumé!$E$76</definedName>
    <definedName name="H2_49">Résumé!$E$77</definedName>
    <definedName name="H2_5">Résumé!$E$33</definedName>
    <definedName name="H2_50">Résumé!$E$78</definedName>
    <definedName name="H2_6">Résumé!$E$34</definedName>
    <definedName name="H2_7">Résumé!$E$35</definedName>
    <definedName name="H2_8">Résumé!$E$36</definedName>
    <definedName name="H2_9">Résumé!$E$37</definedName>
    <definedName name="Hypo1_Initial">Résumé!$D$10</definedName>
    <definedName name="Hypo2_Initial">Résumé!$D$11</definedName>
    <definedName name="HypoMaxi1">Résumé!$H$8</definedName>
    <definedName name="HypoTotal">Résumé!$G$8</definedName>
    <definedName name="Tabelle_Capitaux">Résumé!$C$29:$E$78</definedName>
    <definedName name="Taux_Ep_3A">Résumé!$D$16</definedName>
    <definedName name="Taux_M_I">Résumé!$C$17</definedName>
    <definedName name="Taux1">Résumé!$F$10</definedName>
    <definedName name="Taux2">Résumé!$F$11</definedName>
    <definedName name="Total_IntNet1">Résumé!$G$81</definedName>
    <definedName name="Total_IntNet2">Résumé!$H$81</definedName>
    <definedName name="Val_Gage">Résumé!$D$7</definedName>
    <definedName name="Versement_3a">Résumé!$D$15</definedName>
    <definedName name="_xlnm.Print_Area" localSheetId="1">Graphique!$B$15:$L$34</definedName>
    <definedName name="_xlnm.Print_Area" localSheetId="0">Résumé!$A$1:$F$25</definedName>
  </definedNames>
  <calcPr calcId="145621"/>
</workbook>
</file>

<file path=xl/calcChain.xml><?xml version="1.0" encoding="utf-8"?>
<calcChain xmlns="http://schemas.openxmlformats.org/spreadsheetml/2006/main">
  <c r="F10" i="2" l="1"/>
  <c r="G10" i="2"/>
  <c r="H10" i="2" s="1"/>
  <c r="I10" i="2" s="1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W10" i="2" s="1"/>
  <c r="X10" i="2" s="1"/>
  <c r="Y10" i="2" s="1"/>
  <c r="Z10" i="2" s="1"/>
  <c r="AA10" i="2" s="1"/>
  <c r="AB10" i="2" s="1"/>
  <c r="AC10" i="2" s="1"/>
  <c r="AD10" i="2" s="1"/>
  <c r="AE10" i="2" s="1"/>
  <c r="AF10" i="2" s="1"/>
  <c r="AG10" i="2" s="1"/>
  <c r="AH10" i="2" s="1"/>
  <c r="AI10" i="2" s="1"/>
  <c r="AJ10" i="2" s="1"/>
  <c r="AK10" i="2" s="1"/>
  <c r="AL10" i="2" s="1"/>
  <c r="AM10" i="2" s="1"/>
  <c r="AN10" i="2" s="1"/>
  <c r="AO10" i="2" s="1"/>
  <c r="AP10" i="2" s="1"/>
  <c r="AQ10" i="2" s="1"/>
  <c r="AR10" i="2" s="1"/>
  <c r="AS10" i="2" s="1"/>
  <c r="AT10" i="2" s="1"/>
  <c r="AU10" i="2" s="1"/>
  <c r="AV10" i="2" s="1"/>
  <c r="AW10" i="2" s="1"/>
  <c r="AX10" i="2" s="1"/>
  <c r="AY10" i="2" s="1"/>
  <c r="AZ10" i="2" s="1"/>
  <c r="BA10" i="2" s="1"/>
  <c r="BB10" i="2" s="1"/>
  <c r="E10" i="2"/>
  <c r="C13" i="2"/>
  <c r="C12" i="2"/>
  <c r="C11" i="2"/>
  <c r="C3" i="2"/>
  <c r="C2" i="2"/>
  <c r="E5" i="2" s="1"/>
  <c r="AZ5" i="2" l="1"/>
  <c r="AJ5" i="2"/>
  <c r="T5" i="2"/>
  <c r="AV5" i="2"/>
  <c r="AF5" i="2"/>
  <c r="P5" i="2"/>
  <c r="L5" i="2"/>
  <c r="AR5" i="2"/>
  <c r="AB5" i="2"/>
  <c r="AN5" i="2"/>
  <c r="X5" i="2"/>
  <c r="H5" i="2"/>
  <c r="D5" i="2"/>
  <c r="AY5" i="2"/>
  <c r="AU5" i="2"/>
  <c r="AQ5" i="2"/>
  <c r="AM5" i="2"/>
  <c r="AI5" i="2"/>
  <c r="AE5" i="2"/>
  <c r="AA5" i="2"/>
  <c r="W5" i="2"/>
  <c r="S5" i="2"/>
  <c r="O5" i="2"/>
  <c r="K5" i="2"/>
  <c r="G5" i="2"/>
  <c r="BB5" i="2"/>
  <c r="AX5" i="2"/>
  <c r="AT5" i="2"/>
  <c r="AP5" i="2"/>
  <c r="AL5" i="2"/>
  <c r="AH5" i="2"/>
  <c r="AD5" i="2"/>
  <c r="Z5" i="2"/>
  <c r="V5" i="2"/>
  <c r="R5" i="2"/>
  <c r="N5" i="2"/>
  <c r="J5" i="2"/>
  <c r="F5" i="2"/>
  <c r="BA5" i="2"/>
  <c r="AW5" i="2"/>
  <c r="AS5" i="2"/>
  <c r="AO5" i="2"/>
  <c r="AK5" i="2"/>
  <c r="AG5" i="2"/>
  <c r="AC5" i="2"/>
  <c r="Y5" i="2"/>
  <c r="U5" i="2"/>
  <c r="Q5" i="2"/>
  <c r="M5" i="2"/>
  <c r="I5" i="2"/>
  <c r="H8" i="1"/>
  <c r="G8" i="1"/>
  <c r="G10" i="1" s="1"/>
  <c r="D10" i="1" s="1"/>
  <c r="C4" i="2" s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V28" i="1"/>
  <c r="W28" i="1" s="1"/>
  <c r="B29" i="1"/>
  <c r="B24" i="1"/>
  <c r="B22" i="1"/>
  <c r="B20" i="1"/>
  <c r="D20" i="1"/>
  <c r="D18" i="1"/>
  <c r="D14" i="1"/>
  <c r="D23" i="1" s="1"/>
  <c r="C12" i="1"/>
  <c r="D9" i="1"/>
  <c r="C8" i="1"/>
  <c r="C9" i="1" s="1"/>
  <c r="D19" i="1" l="1"/>
  <c r="F18" i="1"/>
  <c r="X28" i="1"/>
  <c r="L28" i="1" s="1"/>
  <c r="Z28" i="1"/>
  <c r="Y28" i="1"/>
  <c r="M28" i="1" s="1"/>
  <c r="AA28" i="1"/>
  <c r="G11" i="1"/>
  <c r="D11" i="1" s="1"/>
  <c r="C5" i="2" s="1"/>
  <c r="V29" i="1"/>
  <c r="B30" i="1"/>
  <c r="D21" i="1"/>
  <c r="D22" i="1" l="1"/>
  <c r="F20" i="1"/>
  <c r="W29" i="1"/>
  <c r="Y29" i="1"/>
  <c r="M29" i="1" s="1"/>
  <c r="X29" i="1"/>
  <c r="L29" i="1" s="1"/>
  <c r="AA29" i="1"/>
  <c r="Z29" i="1"/>
  <c r="B31" i="1"/>
  <c r="V30" i="1"/>
  <c r="W30" i="1" l="1"/>
  <c r="AA30" i="1"/>
  <c r="X30" i="1"/>
  <c r="L30" i="1" s="1"/>
  <c r="Z30" i="1"/>
  <c r="Y30" i="1"/>
  <c r="M30" i="1" s="1"/>
  <c r="B32" i="1"/>
  <c r="V31" i="1"/>
  <c r="W31" i="1" l="1"/>
  <c r="X31" i="1"/>
  <c r="L31" i="1" s="1"/>
  <c r="Y31" i="1"/>
  <c r="M31" i="1" s="1"/>
  <c r="AA31" i="1"/>
  <c r="Z31" i="1"/>
  <c r="B33" i="1"/>
  <c r="V32" i="1"/>
  <c r="W32" i="1" l="1"/>
  <c r="AA32" i="1"/>
  <c r="Y32" i="1"/>
  <c r="M32" i="1" s="1"/>
  <c r="Z32" i="1"/>
  <c r="X32" i="1"/>
  <c r="L32" i="1" s="1"/>
  <c r="B34" i="1"/>
  <c r="V33" i="1"/>
  <c r="W33" i="1" l="1"/>
  <c r="Y33" i="1"/>
  <c r="M33" i="1" s="1"/>
  <c r="X33" i="1"/>
  <c r="L33" i="1" s="1"/>
  <c r="AA33" i="1"/>
  <c r="Z33" i="1"/>
  <c r="B35" i="1"/>
  <c r="V34" i="1"/>
  <c r="W34" i="1" l="1"/>
  <c r="AA34" i="1"/>
  <c r="X34" i="1"/>
  <c r="L34" i="1" s="1"/>
  <c r="Z34" i="1"/>
  <c r="Y34" i="1"/>
  <c r="M34" i="1" s="1"/>
  <c r="B36" i="1"/>
  <c r="V35" i="1"/>
  <c r="W35" i="1" l="1"/>
  <c r="X35" i="1"/>
  <c r="L35" i="1" s="1"/>
  <c r="Y35" i="1"/>
  <c r="M35" i="1" s="1"/>
  <c r="AA35" i="1"/>
  <c r="Z35" i="1"/>
  <c r="B37" i="1"/>
  <c r="V36" i="1"/>
  <c r="W36" i="1" l="1"/>
  <c r="AA36" i="1"/>
  <c r="Y36" i="1"/>
  <c r="M36" i="1" s="1"/>
  <c r="Z36" i="1"/>
  <c r="X36" i="1"/>
  <c r="L36" i="1" s="1"/>
  <c r="B38" i="1"/>
  <c r="V37" i="1"/>
  <c r="W37" i="1" l="1"/>
  <c r="Y37" i="1"/>
  <c r="M37" i="1" s="1"/>
  <c r="X37" i="1"/>
  <c r="L37" i="1" s="1"/>
  <c r="AA37" i="1"/>
  <c r="Z37" i="1"/>
  <c r="B39" i="1"/>
  <c r="V38" i="1"/>
  <c r="W38" i="1" l="1"/>
  <c r="AA38" i="1"/>
  <c r="X38" i="1"/>
  <c r="L38" i="1" s="1"/>
  <c r="Z38" i="1"/>
  <c r="Y38" i="1"/>
  <c r="M38" i="1" s="1"/>
  <c r="B40" i="1"/>
  <c r="V39" i="1"/>
  <c r="W39" i="1" l="1"/>
  <c r="X39" i="1"/>
  <c r="L39" i="1" s="1"/>
  <c r="Y39" i="1"/>
  <c r="M39" i="1" s="1"/>
  <c r="AA39" i="1"/>
  <c r="Z39" i="1"/>
  <c r="B41" i="1"/>
  <c r="V40" i="1"/>
  <c r="W40" i="1" l="1"/>
  <c r="AA40" i="1"/>
  <c r="Y40" i="1"/>
  <c r="M40" i="1" s="1"/>
  <c r="Z40" i="1"/>
  <c r="X40" i="1"/>
  <c r="L40" i="1" s="1"/>
  <c r="B42" i="1"/>
  <c r="V41" i="1"/>
  <c r="W41" i="1" l="1"/>
  <c r="Y41" i="1"/>
  <c r="M41" i="1" s="1"/>
  <c r="X41" i="1"/>
  <c r="L41" i="1" s="1"/>
  <c r="AA41" i="1"/>
  <c r="Z41" i="1"/>
  <c r="B43" i="1"/>
  <c r="V42" i="1"/>
  <c r="W42" i="1" l="1"/>
  <c r="AA42" i="1"/>
  <c r="X42" i="1"/>
  <c r="L42" i="1" s="1"/>
  <c r="Z42" i="1"/>
  <c r="Y42" i="1"/>
  <c r="M42" i="1" s="1"/>
  <c r="B44" i="1"/>
  <c r="V43" i="1"/>
  <c r="W43" i="1" l="1"/>
  <c r="B45" i="1"/>
  <c r="V44" i="1"/>
  <c r="W44" i="1" l="1"/>
  <c r="AA44" i="1"/>
  <c r="Y44" i="1"/>
  <c r="M44" i="1" s="1"/>
  <c r="Z44" i="1"/>
  <c r="X44" i="1"/>
  <c r="L44" i="1" s="1"/>
  <c r="B46" i="1"/>
  <c r="V45" i="1"/>
  <c r="W45" i="1" l="1"/>
  <c r="Y45" i="1"/>
  <c r="M45" i="1" s="1"/>
  <c r="X45" i="1"/>
  <c r="L45" i="1" s="1"/>
  <c r="AA45" i="1"/>
  <c r="Z45" i="1"/>
  <c r="B47" i="1"/>
  <c r="V46" i="1"/>
  <c r="W46" i="1" l="1"/>
  <c r="AA46" i="1"/>
  <c r="X46" i="1"/>
  <c r="L46" i="1" s="1"/>
  <c r="Z46" i="1"/>
  <c r="Y46" i="1"/>
  <c r="M46" i="1" s="1"/>
  <c r="B48" i="1"/>
  <c r="V47" i="1"/>
  <c r="W47" i="1" l="1"/>
  <c r="X47" i="1"/>
  <c r="L47" i="1" s="1"/>
  <c r="Y47" i="1"/>
  <c r="M47" i="1" s="1"/>
  <c r="AA47" i="1"/>
  <c r="Z47" i="1"/>
  <c r="B49" i="1"/>
  <c r="V48" i="1"/>
  <c r="W48" i="1" l="1"/>
  <c r="B50" i="1"/>
  <c r="V49" i="1"/>
  <c r="W49" i="1" l="1"/>
  <c r="Y49" i="1"/>
  <c r="M49" i="1" s="1"/>
  <c r="X49" i="1"/>
  <c r="L49" i="1" s="1"/>
  <c r="AA49" i="1"/>
  <c r="Z49" i="1"/>
  <c r="B51" i="1"/>
  <c r="V50" i="1"/>
  <c r="W50" i="1" l="1"/>
  <c r="AA50" i="1"/>
  <c r="X50" i="1"/>
  <c r="L50" i="1" s="1"/>
  <c r="Z50" i="1"/>
  <c r="Y50" i="1"/>
  <c r="M50" i="1" s="1"/>
  <c r="B52" i="1"/>
  <c r="V51" i="1"/>
  <c r="W51" i="1" l="1"/>
  <c r="X51" i="1"/>
  <c r="L51" i="1" s="1"/>
  <c r="Y51" i="1"/>
  <c r="M51" i="1" s="1"/>
  <c r="AA51" i="1"/>
  <c r="Z51" i="1"/>
  <c r="B53" i="1"/>
  <c r="V52" i="1"/>
  <c r="W52" i="1" s="1"/>
  <c r="B54" i="1" l="1"/>
  <c r="V53" i="1"/>
  <c r="W53" i="1" l="1"/>
  <c r="B55" i="1"/>
  <c r="V54" i="1"/>
  <c r="W54" i="1" l="1"/>
  <c r="Y54" i="1"/>
  <c r="M54" i="1" s="1"/>
  <c r="X54" i="1"/>
  <c r="L54" i="1" s="1"/>
  <c r="AA54" i="1"/>
  <c r="Z54" i="1"/>
  <c r="B56" i="1"/>
  <c r="V55" i="1"/>
  <c r="W55" i="1" l="1"/>
  <c r="AA55" i="1"/>
  <c r="X55" i="1"/>
  <c r="L55" i="1" s="1"/>
  <c r="Z55" i="1"/>
  <c r="Y55" i="1"/>
  <c r="M55" i="1" s="1"/>
  <c r="B57" i="1"/>
  <c r="V56" i="1"/>
  <c r="W56" i="1" l="1"/>
  <c r="X56" i="1"/>
  <c r="L56" i="1" s="1"/>
  <c r="Y56" i="1"/>
  <c r="M56" i="1" s="1"/>
  <c r="AA56" i="1"/>
  <c r="Z56" i="1"/>
  <c r="B58" i="1"/>
  <c r="V57" i="1"/>
  <c r="W57" i="1" l="1"/>
  <c r="AA57" i="1"/>
  <c r="Y57" i="1"/>
  <c r="M57" i="1" s="1"/>
  <c r="Z57" i="1"/>
  <c r="X57" i="1"/>
  <c r="L57" i="1" s="1"/>
  <c r="B59" i="1"/>
  <c r="V58" i="1"/>
  <c r="W58" i="1" l="1"/>
  <c r="B60" i="1"/>
  <c r="V59" i="1"/>
  <c r="W59" i="1" l="1"/>
  <c r="AA59" i="1"/>
  <c r="X59" i="1"/>
  <c r="L59" i="1" s="1"/>
  <c r="Z59" i="1"/>
  <c r="Y59" i="1"/>
  <c r="M59" i="1" s="1"/>
  <c r="B61" i="1"/>
  <c r="V60" i="1"/>
  <c r="W60" i="1" l="1"/>
  <c r="X60" i="1"/>
  <c r="L60" i="1" s="1"/>
  <c r="Y60" i="1"/>
  <c r="M60" i="1" s="1"/>
  <c r="AA60" i="1"/>
  <c r="Z60" i="1"/>
  <c r="B62" i="1"/>
  <c r="V61" i="1"/>
  <c r="W61" i="1" l="1"/>
  <c r="AA61" i="1"/>
  <c r="Y61" i="1"/>
  <c r="M61" i="1" s="1"/>
  <c r="Z61" i="1"/>
  <c r="X61" i="1"/>
  <c r="L61" i="1" s="1"/>
  <c r="B63" i="1"/>
  <c r="V62" i="1"/>
  <c r="W62" i="1" l="1"/>
  <c r="Y62" i="1"/>
  <c r="M62" i="1" s="1"/>
  <c r="X62" i="1"/>
  <c r="L62" i="1" s="1"/>
  <c r="AA62" i="1"/>
  <c r="Z62" i="1"/>
  <c r="B64" i="1"/>
  <c r="V63" i="1"/>
  <c r="W63" i="1" l="1"/>
  <c r="B65" i="1"/>
  <c r="V64" i="1"/>
  <c r="W64" i="1" l="1"/>
  <c r="X64" i="1"/>
  <c r="L64" i="1" s="1"/>
  <c r="Y64" i="1"/>
  <c r="M64" i="1" s="1"/>
  <c r="AA64" i="1"/>
  <c r="Z64" i="1"/>
  <c r="B66" i="1"/>
  <c r="V65" i="1"/>
  <c r="W65" i="1" l="1"/>
  <c r="AA65" i="1"/>
  <c r="Y65" i="1"/>
  <c r="M65" i="1" s="1"/>
  <c r="Z65" i="1"/>
  <c r="X65" i="1"/>
  <c r="L65" i="1" s="1"/>
  <c r="B67" i="1"/>
  <c r="V66" i="1"/>
  <c r="W66" i="1" l="1"/>
  <c r="Y66" i="1"/>
  <c r="M66" i="1" s="1"/>
  <c r="X66" i="1"/>
  <c r="L66" i="1" s="1"/>
  <c r="AA66" i="1"/>
  <c r="Z66" i="1"/>
  <c r="B68" i="1"/>
  <c r="V67" i="1"/>
  <c r="W67" i="1" l="1"/>
  <c r="AA67" i="1"/>
  <c r="X67" i="1"/>
  <c r="L67" i="1" s="1"/>
  <c r="Z67" i="1"/>
  <c r="Y67" i="1"/>
  <c r="M67" i="1" s="1"/>
  <c r="B69" i="1"/>
  <c r="V68" i="1"/>
  <c r="W68" i="1" l="1"/>
  <c r="B70" i="1"/>
  <c r="V69" i="1"/>
  <c r="W69" i="1" l="1"/>
  <c r="AA69" i="1"/>
  <c r="Y69" i="1"/>
  <c r="M69" i="1" s="1"/>
  <c r="Z69" i="1"/>
  <c r="X69" i="1"/>
  <c r="L69" i="1" s="1"/>
  <c r="B71" i="1"/>
  <c r="V70" i="1"/>
  <c r="W70" i="1" l="1"/>
  <c r="B72" i="1"/>
  <c r="V71" i="1"/>
  <c r="W71" i="1" l="1"/>
  <c r="AA71" i="1"/>
  <c r="X71" i="1"/>
  <c r="L71" i="1" s="1"/>
  <c r="Z71" i="1"/>
  <c r="Y71" i="1"/>
  <c r="M71" i="1" s="1"/>
  <c r="B73" i="1"/>
  <c r="V72" i="1"/>
  <c r="W72" i="1" l="1"/>
  <c r="X72" i="1"/>
  <c r="L72" i="1" s="1"/>
  <c r="Y72" i="1"/>
  <c r="M72" i="1" s="1"/>
  <c r="AA72" i="1"/>
  <c r="Z72" i="1"/>
  <c r="B74" i="1"/>
  <c r="V73" i="1"/>
  <c r="W73" i="1" l="1"/>
  <c r="AA73" i="1"/>
  <c r="Y73" i="1"/>
  <c r="M73" i="1" s="1"/>
  <c r="Z73" i="1"/>
  <c r="X73" i="1"/>
  <c r="L73" i="1" s="1"/>
  <c r="B75" i="1"/>
  <c r="V74" i="1"/>
  <c r="W74" i="1" l="1"/>
  <c r="Y74" i="1"/>
  <c r="M74" i="1" s="1"/>
  <c r="X74" i="1"/>
  <c r="L74" i="1" s="1"/>
  <c r="AA74" i="1"/>
  <c r="Z74" i="1"/>
  <c r="B76" i="1"/>
  <c r="V75" i="1"/>
  <c r="W75" i="1" l="1"/>
  <c r="AA75" i="1"/>
  <c r="X75" i="1"/>
  <c r="L75" i="1" s="1"/>
  <c r="Z75" i="1"/>
  <c r="Y75" i="1"/>
  <c r="M75" i="1" s="1"/>
  <c r="B77" i="1"/>
  <c r="V76" i="1"/>
  <c r="W76" i="1" l="1"/>
  <c r="B78" i="1"/>
  <c r="V77" i="1"/>
  <c r="W77" i="1" l="1"/>
  <c r="AA77" i="1"/>
  <c r="Y77" i="1"/>
  <c r="M77" i="1" s="1"/>
  <c r="Z77" i="1"/>
  <c r="X77" i="1"/>
  <c r="L77" i="1" s="1"/>
  <c r="V78" i="1"/>
  <c r="W78" i="1" l="1"/>
  <c r="C11" i="1" l="1"/>
  <c r="C10" i="1"/>
  <c r="D28" i="1"/>
  <c r="D7" i="2" s="1"/>
  <c r="D11" i="2" l="1"/>
  <c r="E28" i="1"/>
  <c r="F28" i="1"/>
  <c r="G28" i="1" s="1"/>
  <c r="D8" i="2" l="1"/>
  <c r="D12" i="2" s="1"/>
  <c r="O28" i="1"/>
  <c r="N28" i="1" s="1"/>
  <c r="D9" i="2"/>
  <c r="D13" i="2" s="1"/>
  <c r="H28" i="1"/>
  <c r="Q28" i="1" l="1"/>
  <c r="S28" i="1" s="1"/>
  <c r="U28" i="1"/>
  <c r="J28" i="1"/>
  <c r="D29" i="1" s="1"/>
  <c r="R28" i="1"/>
  <c r="P28" i="1"/>
  <c r="I28" i="1"/>
  <c r="K28" i="1"/>
  <c r="E29" i="1" s="1"/>
  <c r="E8" i="2" s="1"/>
  <c r="O29" i="1" l="1"/>
  <c r="N29" i="1" s="1"/>
  <c r="E7" i="2"/>
  <c r="E11" i="2" s="1"/>
  <c r="F29" i="1"/>
  <c r="G29" i="1" s="1"/>
  <c r="E12" i="2"/>
  <c r="Q29" i="1"/>
  <c r="S29" i="1" s="1"/>
  <c r="H29" i="1"/>
  <c r="U29" i="1"/>
  <c r="J29" i="1"/>
  <c r="D30" i="1" s="1"/>
  <c r="F7" i="2" s="1"/>
  <c r="R29" i="1"/>
  <c r="P29" i="1"/>
  <c r="E9" i="2" l="1"/>
  <c r="E13" i="2" s="1"/>
  <c r="F11" i="2"/>
  <c r="O30" i="1"/>
  <c r="N30" i="1" s="1"/>
  <c r="P30" i="1" s="1"/>
  <c r="K29" i="1"/>
  <c r="E30" i="1" s="1"/>
  <c r="F30" i="1"/>
  <c r="G30" i="1" s="1"/>
  <c r="I29" i="1"/>
  <c r="H30" i="1" l="1"/>
  <c r="I30" i="1" s="1"/>
  <c r="F8" i="2"/>
  <c r="J30" i="1"/>
  <c r="D31" i="1" s="1"/>
  <c r="G7" i="2" s="1"/>
  <c r="U30" i="1"/>
  <c r="Q30" i="1"/>
  <c r="O31" i="1" s="1"/>
  <c r="N31" i="1" s="1"/>
  <c r="R30" i="1"/>
  <c r="K30" i="1" l="1"/>
  <c r="E31" i="1" s="1"/>
  <c r="G8" i="2" s="1"/>
  <c r="G12" i="2" s="1"/>
  <c r="F31" i="1"/>
  <c r="G31" i="1" s="1"/>
  <c r="G11" i="2"/>
  <c r="F12" i="2"/>
  <c r="F9" i="2"/>
  <c r="F13" i="2" s="1"/>
  <c r="R31" i="1"/>
  <c r="S30" i="1"/>
  <c r="Q31" i="1"/>
  <c r="U31" i="1"/>
  <c r="J31" i="1"/>
  <c r="D32" i="1" s="1"/>
  <c r="H7" i="2" s="1"/>
  <c r="P31" i="1"/>
  <c r="H31" i="1" l="1"/>
  <c r="G9" i="2"/>
  <c r="G13" i="2" s="1"/>
  <c r="H11" i="2"/>
  <c r="F32" i="1"/>
  <c r="G32" i="1" s="1"/>
  <c r="S31" i="1"/>
  <c r="K31" i="1"/>
  <c r="E32" i="1" s="1"/>
  <c r="H8" i="2" s="1"/>
  <c r="H12" i="2" s="1"/>
  <c r="O32" i="1"/>
  <c r="N32" i="1" s="1"/>
  <c r="P32" i="1" s="1"/>
  <c r="I31" i="1"/>
  <c r="H9" i="2" l="1"/>
  <c r="H13" i="2" s="1"/>
  <c r="J32" i="1"/>
  <c r="D33" i="1" s="1"/>
  <c r="I7" i="2" s="1"/>
  <c r="U32" i="1"/>
  <c r="R32" i="1"/>
  <c r="H32" i="1"/>
  <c r="Q32" i="1"/>
  <c r="I11" i="2" l="1"/>
  <c r="O33" i="1"/>
  <c r="N33" i="1" s="1"/>
  <c r="R33" i="1" s="1"/>
  <c r="S32" i="1"/>
  <c r="K32" i="1"/>
  <c r="E33" i="1" s="1"/>
  <c r="I8" i="2" s="1"/>
  <c r="I12" i="2" s="1"/>
  <c r="I32" i="1"/>
  <c r="F33" i="1"/>
  <c r="G33" i="1" s="1"/>
  <c r="I9" i="2" l="1"/>
  <c r="I13" i="2" s="1"/>
  <c r="H33" i="1"/>
  <c r="Q33" i="1"/>
  <c r="J33" i="1"/>
  <c r="D34" i="1" s="1"/>
  <c r="J7" i="2" s="1"/>
  <c r="U33" i="1"/>
  <c r="P33" i="1"/>
  <c r="J11" i="2" l="1"/>
  <c r="F34" i="1"/>
  <c r="G34" i="1" s="1"/>
  <c r="K33" i="1"/>
  <c r="E34" i="1" s="1"/>
  <c r="J8" i="2" s="1"/>
  <c r="J12" i="2" s="1"/>
  <c r="S33" i="1"/>
  <c r="O34" i="1"/>
  <c r="N34" i="1" s="1"/>
  <c r="I33" i="1"/>
  <c r="J9" i="2" l="1"/>
  <c r="J13" i="2" s="1"/>
  <c r="H34" i="1"/>
  <c r="I34" i="1" s="1"/>
  <c r="U34" i="1"/>
  <c r="J34" i="1"/>
  <c r="D35" i="1" s="1"/>
  <c r="K7" i="2" s="1"/>
  <c r="P34" i="1"/>
  <c r="Q34" i="1"/>
  <c r="R34" i="1"/>
  <c r="K11" i="2" l="1"/>
  <c r="F35" i="1"/>
  <c r="G35" i="1" s="1"/>
  <c r="S34" i="1"/>
  <c r="O35" i="1"/>
  <c r="N35" i="1" s="1"/>
  <c r="P35" i="1" s="1"/>
  <c r="K34" i="1"/>
  <c r="E35" i="1" s="1"/>
  <c r="K8" i="2" s="1"/>
  <c r="K12" i="2" s="1"/>
  <c r="K9" i="2" l="1"/>
  <c r="K13" i="2" s="1"/>
  <c r="Q35" i="1"/>
  <c r="O36" i="1" s="1"/>
  <c r="N36" i="1" s="1"/>
  <c r="K35" i="1"/>
  <c r="E36" i="1" s="1"/>
  <c r="L8" i="2" s="1"/>
  <c r="L12" i="2" s="1"/>
  <c r="H35" i="1"/>
  <c r="I35" i="1" s="1"/>
  <c r="J35" i="1"/>
  <c r="D36" i="1" s="1"/>
  <c r="L7" i="2" s="1"/>
  <c r="U35" i="1"/>
  <c r="R35" i="1"/>
  <c r="L11" i="2" l="1"/>
  <c r="L9" i="2"/>
  <c r="L13" i="2" s="1"/>
  <c r="S35" i="1"/>
  <c r="F36" i="1"/>
  <c r="G36" i="1" s="1"/>
  <c r="R36" i="1"/>
  <c r="H36" i="1"/>
  <c r="I36" i="1" s="1"/>
  <c r="Q36" i="1"/>
  <c r="J36" i="1"/>
  <c r="D37" i="1" s="1"/>
  <c r="M7" i="2" s="1"/>
  <c r="U36" i="1"/>
  <c r="P36" i="1"/>
  <c r="M11" i="2" l="1"/>
  <c r="F37" i="1"/>
  <c r="G37" i="1" s="1"/>
  <c r="K36" i="1"/>
  <c r="E37" i="1" s="1"/>
  <c r="M8" i="2" s="1"/>
  <c r="M12" i="2" s="1"/>
  <c r="S36" i="1"/>
  <c r="O37" i="1"/>
  <c r="N37" i="1" s="1"/>
  <c r="P37" i="1" s="1"/>
  <c r="M9" i="2" l="1"/>
  <c r="M13" i="2" s="1"/>
  <c r="H37" i="1"/>
  <c r="I37" i="1" s="1"/>
  <c r="J37" i="1"/>
  <c r="D38" i="1" s="1"/>
  <c r="N7" i="2" s="1"/>
  <c r="U37" i="1"/>
  <c r="Q37" i="1"/>
  <c r="R37" i="1"/>
  <c r="N11" i="2" l="1"/>
  <c r="F38" i="1"/>
  <c r="G38" i="1" s="1"/>
  <c r="O38" i="1"/>
  <c r="N38" i="1" s="1"/>
  <c r="K37" i="1"/>
  <c r="E38" i="1" s="1"/>
  <c r="N8" i="2" s="1"/>
  <c r="N12" i="2" s="1"/>
  <c r="S37" i="1"/>
  <c r="N9" i="2" l="1"/>
  <c r="N13" i="2" s="1"/>
  <c r="Q38" i="1"/>
  <c r="J38" i="1"/>
  <c r="D39" i="1" s="1"/>
  <c r="O7" i="2" s="1"/>
  <c r="U38" i="1"/>
  <c r="P38" i="1"/>
  <c r="K38" i="1"/>
  <c r="S38" i="1"/>
  <c r="O39" i="1"/>
  <c r="N39" i="1" s="1"/>
  <c r="H38" i="1"/>
  <c r="I38" i="1" s="1"/>
  <c r="E39" i="1"/>
  <c r="O8" i="2" s="1"/>
  <c r="O12" i="2" s="1"/>
  <c r="R38" i="1"/>
  <c r="O11" i="2" l="1"/>
  <c r="O9" i="2"/>
  <c r="O13" i="2" s="1"/>
  <c r="Q39" i="1"/>
  <c r="S39" i="1" s="1"/>
  <c r="P39" i="1"/>
  <c r="H39" i="1"/>
  <c r="I39" i="1" s="1"/>
  <c r="U39" i="1"/>
  <c r="J39" i="1"/>
  <c r="D40" i="1" s="1"/>
  <c r="P7" i="2" s="1"/>
  <c r="R39" i="1"/>
  <c r="F39" i="1"/>
  <c r="G39" i="1" s="1"/>
  <c r="O40" i="1" l="1"/>
  <c r="N40" i="1" s="1"/>
  <c r="U40" i="1" s="1"/>
  <c r="K39" i="1"/>
  <c r="E40" i="1" s="1"/>
  <c r="P8" i="2" s="1"/>
  <c r="P12" i="2" s="1"/>
  <c r="P11" i="2"/>
  <c r="J40" i="1"/>
  <c r="D41" i="1" s="1"/>
  <c r="Q7" i="2" s="1"/>
  <c r="F40" i="1"/>
  <c r="G40" i="1" s="1"/>
  <c r="R40" i="1"/>
  <c r="P40" i="1"/>
  <c r="Q40" i="1" l="1"/>
  <c r="S40" i="1" s="1"/>
  <c r="H40" i="1"/>
  <c r="I40" i="1" s="1"/>
  <c r="P9" i="2"/>
  <c r="P13" i="2" s="1"/>
  <c r="Q11" i="2"/>
  <c r="K40" i="1"/>
  <c r="E41" i="1" s="1"/>
  <c r="Q8" i="2" s="1"/>
  <c r="Q12" i="2" s="1"/>
  <c r="F41" i="1"/>
  <c r="G41" i="1" s="1"/>
  <c r="O41" i="1" l="1"/>
  <c r="N41" i="1" s="1"/>
  <c r="R41" i="1" s="1"/>
  <c r="Q9" i="2"/>
  <c r="Q13" i="2" s="1"/>
  <c r="Q41" i="1"/>
  <c r="H41" i="1"/>
  <c r="I41" i="1" s="1"/>
  <c r="J41" i="1" l="1"/>
  <c r="D42" i="1" s="1"/>
  <c r="R7" i="2" s="1"/>
  <c r="R11" i="2" s="1"/>
  <c r="U41" i="1"/>
  <c r="P41" i="1"/>
  <c r="O42" i="1"/>
  <c r="N42" i="1" s="1"/>
  <c r="P42" i="1" s="1"/>
  <c r="S41" i="1"/>
  <c r="K41" i="1"/>
  <c r="E42" i="1" s="1"/>
  <c r="R8" i="2" s="1"/>
  <c r="R12" i="2" s="1"/>
  <c r="F42" i="1" l="1"/>
  <c r="G42" i="1" s="1"/>
  <c r="R9" i="2"/>
  <c r="R13" i="2" s="1"/>
  <c r="H42" i="1"/>
  <c r="I42" i="1" s="1"/>
  <c r="R42" i="1"/>
  <c r="Q42" i="1"/>
  <c r="U42" i="1"/>
  <c r="J42" i="1"/>
  <c r="K42" i="1" l="1"/>
  <c r="S42" i="1"/>
  <c r="O43" i="1"/>
  <c r="N43" i="1" s="1"/>
  <c r="Q43" i="1" l="1"/>
  <c r="K43" i="1" s="1"/>
  <c r="O44" i="1"/>
  <c r="N44" i="1" s="1"/>
  <c r="S43" i="1"/>
  <c r="AA43" i="1" s="1"/>
  <c r="Y43" i="1" s="1"/>
  <c r="U43" i="1"/>
  <c r="J43" i="1"/>
  <c r="P43" i="1"/>
  <c r="M43" i="1" l="1"/>
  <c r="E43" i="1" s="1"/>
  <c r="E44" i="1" s="1"/>
  <c r="X43" i="1"/>
  <c r="L43" i="1" s="1"/>
  <c r="D43" i="1" s="1"/>
  <c r="S7" i="2" s="1"/>
  <c r="P44" i="1"/>
  <c r="J44" i="1"/>
  <c r="U44" i="1"/>
  <c r="Q44" i="1"/>
  <c r="T8" i="2" l="1"/>
  <c r="T12" i="2" s="1"/>
  <c r="H44" i="1"/>
  <c r="I44" i="1" s="1"/>
  <c r="D44" i="1"/>
  <c r="S11" i="2"/>
  <c r="H43" i="1"/>
  <c r="I43" i="1" s="1"/>
  <c r="S8" i="2"/>
  <c r="S12" i="2" s="1"/>
  <c r="F43" i="1"/>
  <c r="G43" i="1" s="1"/>
  <c r="R43" i="1"/>
  <c r="Z43" i="1" s="1"/>
  <c r="K44" i="1"/>
  <c r="E45" i="1" s="1"/>
  <c r="U8" i="2" s="1"/>
  <c r="S44" i="1"/>
  <c r="O45" i="1"/>
  <c r="N45" i="1" s="1"/>
  <c r="T7" i="2" l="1"/>
  <c r="R44" i="1"/>
  <c r="F44" i="1"/>
  <c r="G44" i="1" s="1"/>
  <c r="D45" i="1"/>
  <c r="R45" i="1" s="1"/>
  <c r="U12" i="2"/>
  <c r="S9" i="2"/>
  <c r="S13" i="2" s="1"/>
  <c r="Q45" i="1"/>
  <c r="K45" i="1" s="1"/>
  <c r="E46" i="1" s="1"/>
  <c r="V8" i="2" s="1"/>
  <c r="V12" i="2" s="1"/>
  <c r="H45" i="1"/>
  <c r="I45" i="1" s="1"/>
  <c r="U45" i="1"/>
  <c r="J45" i="1"/>
  <c r="P45" i="1"/>
  <c r="S45" i="1" l="1"/>
  <c r="U7" i="2"/>
  <c r="F45" i="1"/>
  <c r="G45" i="1" s="1"/>
  <c r="O46" i="1"/>
  <c r="N46" i="1" s="1"/>
  <c r="J46" i="1" s="1"/>
  <c r="D47" i="1" s="1"/>
  <c r="W7" i="2" s="1"/>
  <c r="W11" i="2" s="1"/>
  <c r="D46" i="1"/>
  <c r="V7" i="2" s="1"/>
  <c r="V11" i="2" s="1"/>
  <c r="T9" i="2"/>
  <c r="T13" i="2" s="1"/>
  <c r="T11" i="2"/>
  <c r="H46" i="1"/>
  <c r="I46" i="1" s="1"/>
  <c r="Q46" i="1" l="1"/>
  <c r="S46" i="1" s="1"/>
  <c r="U46" i="1"/>
  <c r="V9" i="2"/>
  <c r="V13" i="2" s="1"/>
  <c r="P46" i="1"/>
  <c r="F46" i="1"/>
  <c r="G46" i="1" s="1"/>
  <c r="R46" i="1"/>
  <c r="U11" i="2"/>
  <c r="U9" i="2"/>
  <c r="U13" i="2" s="1"/>
  <c r="K46" i="1"/>
  <c r="E47" i="1" s="1"/>
  <c r="W8" i="2" s="1"/>
  <c r="O47" i="1"/>
  <c r="N47" i="1" s="1"/>
  <c r="R47" i="1" s="1"/>
  <c r="F47" i="1"/>
  <c r="G47" i="1" s="1"/>
  <c r="W9" i="2" l="1"/>
  <c r="W13" i="2" s="1"/>
  <c r="W12" i="2"/>
  <c r="P47" i="1"/>
  <c r="Q47" i="1"/>
  <c r="J47" i="1"/>
  <c r="U47" i="1"/>
  <c r="H47" i="1"/>
  <c r="I47" i="1" s="1"/>
  <c r="K47" i="1" l="1"/>
  <c r="S47" i="1"/>
  <c r="O48" i="1"/>
  <c r="N48" i="1" s="1"/>
  <c r="J48" i="1" l="1"/>
  <c r="U48" i="1"/>
  <c r="P48" i="1"/>
  <c r="Q48" i="1"/>
  <c r="K48" i="1" l="1"/>
  <c r="S48" i="1"/>
  <c r="AA48" i="1" s="1"/>
  <c r="Y48" i="1" s="1"/>
  <c r="O49" i="1"/>
  <c r="N49" i="1" s="1"/>
  <c r="P49" i="1" s="1"/>
  <c r="M48" i="1" l="1"/>
  <c r="E48" i="1" s="1"/>
  <c r="E49" i="1" s="1"/>
  <c r="Y8" i="2" s="1"/>
  <c r="X48" i="1"/>
  <c r="L48" i="1" s="1"/>
  <c r="D48" i="1" s="1"/>
  <c r="D49" i="1" s="1"/>
  <c r="Q49" i="1"/>
  <c r="U49" i="1"/>
  <c r="J49" i="1"/>
  <c r="H49" i="1" l="1"/>
  <c r="I49" i="1" s="1"/>
  <c r="Y7" i="2"/>
  <c r="Y11" i="2" s="1"/>
  <c r="F49" i="1"/>
  <c r="G49" i="1" s="1"/>
  <c r="R49" i="1"/>
  <c r="D50" i="1"/>
  <c r="Z7" i="2" s="1"/>
  <c r="Z11" i="2" s="1"/>
  <c r="Y9" i="2"/>
  <c r="Y13" i="2" s="1"/>
  <c r="Y12" i="2"/>
  <c r="X7" i="2"/>
  <c r="X11" i="2" s="1"/>
  <c r="F48" i="1"/>
  <c r="G48" i="1" s="1"/>
  <c r="R48" i="1"/>
  <c r="Z48" i="1" s="1"/>
  <c r="X8" i="2"/>
  <c r="H48" i="1"/>
  <c r="I48" i="1" s="1"/>
  <c r="F50" i="1"/>
  <c r="G50" i="1" s="1"/>
  <c r="K49" i="1"/>
  <c r="E50" i="1" s="1"/>
  <c r="Z8" i="2" s="1"/>
  <c r="S49" i="1"/>
  <c r="O50" i="1"/>
  <c r="N50" i="1" s="1"/>
  <c r="Z9" i="2" l="1"/>
  <c r="Z13" i="2" s="1"/>
  <c r="Z12" i="2"/>
  <c r="X9" i="2"/>
  <c r="X13" i="2" s="1"/>
  <c r="X12" i="2"/>
  <c r="H50" i="1"/>
  <c r="I50" i="1" s="1"/>
  <c r="Q50" i="1"/>
  <c r="J50" i="1"/>
  <c r="D51" i="1" s="1"/>
  <c r="AA7" i="2" s="1"/>
  <c r="AA11" i="2" s="1"/>
  <c r="U50" i="1"/>
  <c r="P50" i="1"/>
  <c r="R50" i="1"/>
  <c r="F51" i="1" l="1"/>
  <c r="G51" i="1" s="1"/>
  <c r="K50" i="1"/>
  <c r="E51" i="1" s="1"/>
  <c r="AA8" i="2" s="1"/>
  <c r="S50" i="1"/>
  <c r="O51" i="1"/>
  <c r="N51" i="1" s="1"/>
  <c r="P51" i="1" s="1"/>
  <c r="AA9" i="2" l="1"/>
  <c r="AA13" i="2" s="1"/>
  <c r="AA12" i="2"/>
  <c r="H51" i="1"/>
  <c r="I51" i="1" s="1"/>
  <c r="U51" i="1"/>
  <c r="J51" i="1"/>
  <c r="Q51" i="1"/>
  <c r="R51" i="1"/>
  <c r="S51" i="1" l="1"/>
  <c r="K51" i="1"/>
  <c r="O52" i="1"/>
  <c r="N52" i="1" s="1"/>
  <c r="U52" i="1" l="1"/>
  <c r="J52" i="1"/>
  <c r="P52" i="1"/>
  <c r="Q52" i="1"/>
  <c r="O53" i="1" l="1"/>
  <c r="N53" i="1" s="1"/>
  <c r="P53" i="1" s="1"/>
  <c r="K52" i="1"/>
  <c r="S52" i="1"/>
  <c r="AA52" i="1" s="1"/>
  <c r="Y52" i="1" s="1"/>
  <c r="M52" i="1" l="1"/>
  <c r="E52" i="1" s="1"/>
  <c r="AB8" i="2" s="1"/>
  <c r="AB12" i="2" s="1"/>
  <c r="X52" i="1"/>
  <c r="L52" i="1" s="1"/>
  <c r="D52" i="1" s="1"/>
  <c r="AB7" i="2" s="1"/>
  <c r="Q53" i="1"/>
  <c r="U53" i="1"/>
  <c r="J53" i="1"/>
  <c r="AB9" i="2" l="1"/>
  <c r="AB13" i="2" s="1"/>
  <c r="AB11" i="2"/>
  <c r="S53" i="1"/>
  <c r="AA53" i="1" s="1"/>
  <c r="Y53" i="1" s="1"/>
  <c r="O54" i="1"/>
  <c r="N54" i="1" s="1"/>
  <c r="K53" i="1"/>
  <c r="R52" i="1"/>
  <c r="Z52" i="1" s="1"/>
  <c r="F52" i="1"/>
  <c r="G52" i="1" s="1"/>
  <c r="H52" i="1"/>
  <c r="M53" i="1" l="1"/>
  <c r="E53" i="1" s="1"/>
  <c r="X53" i="1"/>
  <c r="L53" i="1" s="1"/>
  <c r="D53" i="1" s="1"/>
  <c r="Q54" i="1"/>
  <c r="K54" i="1" s="1"/>
  <c r="U54" i="1"/>
  <c r="J54" i="1"/>
  <c r="P54" i="1"/>
  <c r="I52" i="1"/>
  <c r="D54" i="1" l="1"/>
  <c r="D55" i="1" s="1"/>
  <c r="AE7" i="2" s="1"/>
  <c r="AC7" i="2"/>
  <c r="AC11" i="2" s="1"/>
  <c r="E54" i="1"/>
  <c r="AD8" i="2" s="1"/>
  <c r="AD12" i="2" s="1"/>
  <c r="AC8" i="2"/>
  <c r="AC12" i="2" s="1"/>
  <c r="F54" i="1"/>
  <c r="G54" i="1" s="1"/>
  <c r="F53" i="1"/>
  <c r="G53" i="1" s="1"/>
  <c r="R53" i="1"/>
  <c r="Z53" i="1" s="1"/>
  <c r="O55" i="1"/>
  <c r="N55" i="1" s="1"/>
  <c r="P55" i="1" s="1"/>
  <c r="H53" i="1"/>
  <c r="S54" i="1"/>
  <c r="E55" i="1" l="1"/>
  <c r="AE8" i="2" s="1"/>
  <c r="AE12" i="2" s="1"/>
  <c r="AE11" i="2"/>
  <c r="H54" i="1"/>
  <c r="I54" i="1" s="1"/>
  <c r="AC9" i="2"/>
  <c r="AC13" i="2" s="1"/>
  <c r="R54" i="1"/>
  <c r="AD7" i="2"/>
  <c r="J55" i="1"/>
  <c r="D56" i="1" s="1"/>
  <c r="AF7" i="2" s="1"/>
  <c r="AF11" i="2" s="1"/>
  <c r="F55" i="1"/>
  <c r="G55" i="1" s="1"/>
  <c r="U55" i="1"/>
  <c r="Q55" i="1"/>
  <c r="K55" i="1" s="1"/>
  <c r="R55" i="1"/>
  <c r="I53" i="1"/>
  <c r="E56" i="1" l="1"/>
  <c r="AF8" i="2" s="1"/>
  <c r="AF12" i="2" s="1"/>
  <c r="H55" i="1"/>
  <c r="I55" i="1" s="1"/>
  <c r="AE9" i="2"/>
  <c r="AE13" i="2" s="1"/>
  <c r="AD9" i="2"/>
  <c r="AD13" i="2" s="1"/>
  <c r="AD11" i="2"/>
  <c r="O56" i="1"/>
  <c r="N56" i="1" s="1"/>
  <c r="J56" i="1" s="1"/>
  <c r="D57" i="1" s="1"/>
  <c r="AG7" i="2" s="1"/>
  <c r="AG11" i="2" s="1"/>
  <c r="S55" i="1"/>
  <c r="H56" i="1"/>
  <c r="F56" i="1"/>
  <c r="G56" i="1" s="1"/>
  <c r="AF9" i="2" l="1"/>
  <c r="AF13" i="2" s="1"/>
  <c r="U56" i="1"/>
  <c r="R56" i="1"/>
  <c r="P56" i="1"/>
  <c r="Q56" i="1"/>
  <c r="S56" i="1" s="1"/>
  <c r="F57" i="1"/>
  <c r="G57" i="1" s="1"/>
  <c r="I56" i="1"/>
  <c r="O57" i="1" l="1"/>
  <c r="N57" i="1" s="1"/>
  <c r="P57" i="1" s="1"/>
  <c r="K56" i="1"/>
  <c r="E57" i="1" s="1"/>
  <c r="AG8" i="2" s="1"/>
  <c r="R57" i="1" l="1"/>
  <c r="Q57" i="1"/>
  <c r="O58" i="1" s="1"/>
  <c r="N58" i="1" s="1"/>
  <c r="P58" i="1" s="1"/>
  <c r="J57" i="1"/>
  <c r="U57" i="1"/>
  <c r="AG9" i="2"/>
  <c r="AG13" i="2" s="1"/>
  <c r="AG12" i="2"/>
  <c r="H57" i="1"/>
  <c r="I57" i="1" s="1"/>
  <c r="K57" i="1"/>
  <c r="S57" i="1"/>
  <c r="Q58" i="1"/>
  <c r="O59" i="1" s="1"/>
  <c r="N59" i="1" s="1"/>
  <c r="U58" i="1"/>
  <c r="J58" i="1"/>
  <c r="S58" i="1" l="1"/>
  <c r="AA58" i="1" s="1"/>
  <c r="Y58" i="1" s="1"/>
  <c r="K58" i="1"/>
  <c r="U59" i="1"/>
  <c r="J59" i="1"/>
  <c r="Q59" i="1"/>
  <c r="P59" i="1"/>
  <c r="M58" i="1" l="1"/>
  <c r="E58" i="1" s="1"/>
  <c r="E59" i="1" s="1"/>
  <c r="X58" i="1"/>
  <c r="L58" i="1" s="1"/>
  <c r="D58" i="1" s="1"/>
  <c r="D59" i="1" s="1"/>
  <c r="O60" i="1"/>
  <c r="N60" i="1" s="1"/>
  <c r="P60" i="1" s="1"/>
  <c r="K59" i="1"/>
  <c r="S59" i="1"/>
  <c r="H59" i="1" l="1"/>
  <c r="I59" i="1" s="1"/>
  <c r="AI8" i="2"/>
  <c r="AI7" i="2"/>
  <c r="AI11" i="2" s="1"/>
  <c r="R59" i="1"/>
  <c r="F59" i="1"/>
  <c r="G59" i="1" s="1"/>
  <c r="D60" i="1"/>
  <c r="E60" i="1"/>
  <c r="AJ8" i="2" s="1"/>
  <c r="AH7" i="2"/>
  <c r="AH11" i="2" s="1"/>
  <c r="R58" i="1"/>
  <c r="Z58" i="1" s="1"/>
  <c r="F58" i="1"/>
  <c r="G58" i="1" s="1"/>
  <c r="AH8" i="2"/>
  <c r="H58" i="1"/>
  <c r="I58" i="1" s="1"/>
  <c r="Q60" i="1"/>
  <c r="R60" i="1"/>
  <c r="U60" i="1"/>
  <c r="J60" i="1"/>
  <c r="D61" i="1" s="1"/>
  <c r="AK7" i="2" s="1"/>
  <c r="AK11" i="2" s="1"/>
  <c r="AJ12" i="2" l="1"/>
  <c r="AJ7" i="2"/>
  <c r="AJ11" i="2" s="1"/>
  <c r="F60" i="1"/>
  <c r="G60" i="1" s="1"/>
  <c r="AI9" i="2"/>
  <c r="AI13" i="2" s="1"/>
  <c r="AI12" i="2"/>
  <c r="H60" i="1"/>
  <c r="I60" i="1" s="1"/>
  <c r="AH9" i="2"/>
  <c r="AH13" i="2" s="1"/>
  <c r="AH12" i="2"/>
  <c r="F61" i="1"/>
  <c r="G61" i="1" s="1"/>
  <c r="K60" i="1"/>
  <c r="E61" i="1" s="1"/>
  <c r="AK8" i="2" s="1"/>
  <c r="O61" i="1"/>
  <c r="N61" i="1" s="1"/>
  <c r="S60" i="1"/>
  <c r="AK9" i="2" l="1"/>
  <c r="AK13" i="2" s="1"/>
  <c r="AK12" i="2"/>
  <c r="AJ9" i="2"/>
  <c r="AJ13" i="2" s="1"/>
  <c r="H61" i="1"/>
  <c r="U61" i="1"/>
  <c r="R61" i="1"/>
  <c r="J61" i="1"/>
  <c r="D62" i="1" s="1"/>
  <c r="AL7" i="2" s="1"/>
  <c r="AL11" i="2" s="1"/>
  <c r="P61" i="1"/>
  <c r="Q61" i="1"/>
  <c r="F62" i="1" l="1"/>
  <c r="G62" i="1" s="1"/>
  <c r="I61" i="1"/>
  <c r="O62" i="1"/>
  <c r="N62" i="1" s="1"/>
  <c r="P62" i="1" s="1"/>
  <c r="S61" i="1"/>
  <c r="K61" i="1"/>
  <c r="E62" i="1" s="1"/>
  <c r="AL8" i="2" s="1"/>
  <c r="AL9" i="2" l="1"/>
  <c r="AL13" i="2" s="1"/>
  <c r="AL12" i="2"/>
  <c r="H62" i="1"/>
  <c r="I62" i="1" s="1"/>
  <c r="Q62" i="1"/>
  <c r="O63" i="1" s="1"/>
  <c r="N63" i="1" s="1"/>
  <c r="U62" i="1"/>
  <c r="R62" i="1"/>
  <c r="J62" i="1"/>
  <c r="K62" i="1" l="1"/>
  <c r="S62" i="1"/>
  <c r="Q63" i="1"/>
  <c r="U63" i="1"/>
  <c r="J63" i="1"/>
  <c r="P63" i="1"/>
  <c r="O64" i="1" l="1"/>
  <c r="N64" i="1" s="1"/>
  <c r="K63" i="1"/>
  <c r="S63" i="1"/>
  <c r="AA63" i="1" s="1"/>
  <c r="Y63" i="1" s="1"/>
  <c r="M63" i="1" l="1"/>
  <c r="E63" i="1" s="1"/>
  <c r="E64" i="1" s="1"/>
  <c r="X63" i="1"/>
  <c r="L63" i="1" s="1"/>
  <c r="D63" i="1" s="1"/>
  <c r="D64" i="1" s="1"/>
  <c r="R64" i="1" s="1"/>
  <c r="Q64" i="1"/>
  <c r="S64" i="1" s="1"/>
  <c r="U64" i="1"/>
  <c r="J64" i="1"/>
  <c r="P64" i="1"/>
  <c r="AN8" i="2" l="1"/>
  <c r="AN12" i="2" s="1"/>
  <c r="H64" i="1"/>
  <c r="I64" i="1" s="1"/>
  <c r="AN7" i="2"/>
  <c r="F64" i="1"/>
  <c r="G64" i="1" s="1"/>
  <c r="D65" i="1"/>
  <c r="AO7" i="2" s="1"/>
  <c r="AO11" i="2" s="1"/>
  <c r="AM7" i="2"/>
  <c r="F63" i="1"/>
  <c r="G63" i="1" s="1"/>
  <c r="R63" i="1"/>
  <c r="Z63" i="1" s="1"/>
  <c r="AM8" i="2"/>
  <c r="AM12" i="2" s="1"/>
  <c r="H63" i="1"/>
  <c r="I63" i="1" s="1"/>
  <c r="O65" i="1"/>
  <c r="N65" i="1" s="1"/>
  <c r="U65" i="1" s="1"/>
  <c r="K64" i="1"/>
  <c r="E65" i="1" s="1"/>
  <c r="AO8" i="2" s="1"/>
  <c r="AO12" i="2" s="1"/>
  <c r="F65" i="1"/>
  <c r="G65" i="1" s="1"/>
  <c r="AN11" i="2" l="1"/>
  <c r="AN9" i="2"/>
  <c r="AN13" i="2" s="1"/>
  <c r="P65" i="1"/>
  <c r="J65" i="1"/>
  <c r="D66" i="1" s="1"/>
  <c r="AP7" i="2" s="1"/>
  <c r="AP11" i="2" s="1"/>
  <c r="R65" i="1"/>
  <c r="Q65" i="1"/>
  <c r="K65" i="1" s="1"/>
  <c r="E66" i="1" s="1"/>
  <c r="AP8" i="2" s="1"/>
  <c r="AM11" i="2"/>
  <c r="AM9" i="2"/>
  <c r="AM13" i="2" s="1"/>
  <c r="H65" i="1"/>
  <c r="I65" i="1" s="1"/>
  <c r="AO9" i="2"/>
  <c r="AO13" i="2" s="1"/>
  <c r="S65" i="1"/>
  <c r="O66" i="1" l="1"/>
  <c r="N66" i="1" s="1"/>
  <c r="P66" i="1" s="1"/>
  <c r="F66" i="1"/>
  <c r="G66" i="1" s="1"/>
  <c r="AP9" i="2"/>
  <c r="AP13" i="2" s="1"/>
  <c r="AP12" i="2"/>
  <c r="H66" i="1"/>
  <c r="I66" i="1" s="1"/>
  <c r="J66" i="1" l="1"/>
  <c r="D67" i="1" s="1"/>
  <c r="AQ7" i="2" s="1"/>
  <c r="AQ11" i="2" s="1"/>
  <c r="R66" i="1"/>
  <c r="U66" i="1"/>
  <c r="Q66" i="1"/>
  <c r="S66" i="1" s="1"/>
  <c r="F67" i="1"/>
  <c r="G67" i="1" s="1"/>
  <c r="K66" i="1" l="1"/>
  <c r="E67" i="1" s="1"/>
  <c r="AQ8" i="2" s="1"/>
  <c r="AQ9" i="2" s="1"/>
  <c r="AQ13" i="2" s="1"/>
  <c r="O67" i="1"/>
  <c r="N67" i="1" s="1"/>
  <c r="U67" i="1" s="1"/>
  <c r="AQ12" i="2"/>
  <c r="Q67" i="1"/>
  <c r="K67" i="1" s="1"/>
  <c r="H67" i="1"/>
  <c r="I67" i="1" s="1"/>
  <c r="R67" i="1" l="1"/>
  <c r="J67" i="1"/>
  <c r="P67" i="1"/>
  <c r="O68" i="1"/>
  <c r="N68" i="1" s="1"/>
  <c r="J68" i="1" s="1"/>
  <c r="D69" i="1" s="1"/>
  <c r="AS7" i="2" s="1"/>
  <c r="AS11" i="2" s="1"/>
  <c r="S67" i="1"/>
  <c r="Q68" i="1" l="1"/>
  <c r="S68" i="1" s="1"/>
  <c r="AA68" i="1" s="1"/>
  <c r="Y68" i="1" s="1"/>
  <c r="U68" i="1"/>
  <c r="P68" i="1"/>
  <c r="F69" i="1"/>
  <c r="G69" i="1" s="1"/>
  <c r="M68" i="1" l="1"/>
  <c r="E68" i="1" s="1"/>
  <c r="X68" i="1"/>
  <c r="L68" i="1" s="1"/>
  <c r="D68" i="1" s="1"/>
  <c r="O69" i="1"/>
  <c r="N69" i="1" s="1"/>
  <c r="P69" i="1" s="1"/>
  <c r="K68" i="1"/>
  <c r="E69" i="1" s="1"/>
  <c r="AS8" i="2" s="1"/>
  <c r="Q69" i="1"/>
  <c r="S69" i="1" s="1"/>
  <c r="U69" i="1" l="1"/>
  <c r="AR7" i="2"/>
  <c r="F68" i="1"/>
  <c r="G68" i="1" s="1"/>
  <c r="R68" i="1"/>
  <c r="Z68" i="1" s="1"/>
  <c r="R69" i="1"/>
  <c r="J69" i="1"/>
  <c r="AR8" i="2"/>
  <c r="AR12" i="2" s="1"/>
  <c r="H68" i="1"/>
  <c r="I68" i="1" s="1"/>
  <c r="H69" i="1"/>
  <c r="I69" i="1" s="1"/>
  <c r="AS9" i="2"/>
  <c r="AS13" i="2" s="1"/>
  <c r="AS12" i="2"/>
  <c r="K69" i="1"/>
  <c r="O70" i="1"/>
  <c r="N70" i="1" s="1"/>
  <c r="P70" i="1" s="1"/>
  <c r="AR9" i="2" l="1"/>
  <c r="AR13" i="2" s="1"/>
  <c r="AR11" i="2"/>
  <c r="Q70" i="1"/>
  <c r="S70" i="1" s="1"/>
  <c r="AA70" i="1" s="1"/>
  <c r="Y70" i="1" s="1"/>
  <c r="J70" i="1"/>
  <c r="U70" i="1"/>
  <c r="M70" i="1" l="1"/>
  <c r="E70" i="1" s="1"/>
  <c r="X70" i="1"/>
  <c r="L70" i="1" s="1"/>
  <c r="D70" i="1" s="1"/>
  <c r="D71" i="1" s="1"/>
  <c r="O71" i="1"/>
  <c r="N71" i="1" s="1"/>
  <c r="U71" i="1" s="1"/>
  <c r="K70" i="1"/>
  <c r="E71" i="1" s="1"/>
  <c r="AU8" i="2" s="1"/>
  <c r="AU7" i="2" l="1"/>
  <c r="AU11" i="2" s="1"/>
  <c r="F71" i="1"/>
  <c r="G71" i="1" s="1"/>
  <c r="P71" i="1"/>
  <c r="J71" i="1"/>
  <c r="D72" i="1" s="1"/>
  <c r="F72" i="1" s="1"/>
  <c r="G72" i="1" s="1"/>
  <c r="Q71" i="1"/>
  <c r="O72" i="1" s="1"/>
  <c r="N72" i="1" s="1"/>
  <c r="J72" i="1" s="1"/>
  <c r="D73" i="1" s="1"/>
  <c r="AW7" i="2" s="1"/>
  <c r="AW11" i="2" s="1"/>
  <c r="R71" i="1"/>
  <c r="AT7" i="2"/>
  <c r="F70" i="1"/>
  <c r="G70" i="1" s="1"/>
  <c r="R70" i="1"/>
  <c r="Z70" i="1" s="1"/>
  <c r="AT8" i="2"/>
  <c r="AT12" i="2" s="1"/>
  <c r="H70" i="1"/>
  <c r="I70" i="1" s="1"/>
  <c r="H71" i="1"/>
  <c r="I71" i="1" s="1"/>
  <c r="AU9" i="2"/>
  <c r="AU13" i="2" s="1"/>
  <c r="AU12" i="2"/>
  <c r="K71" i="1"/>
  <c r="E72" i="1" s="1"/>
  <c r="AV8" i="2" s="1"/>
  <c r="AV12" i="2" s="1"/>
  <c r="P72" i="1"/>
  <c r="Q72" i="1"/>
  <c r="K72" i="1" s="1"/>
  <c r="R72" i="1"/>
  <c r="U72" i="1" l="1"/>
  <c r="AV7" i="2"/>
  <c r="AV11" i="2" s="1"/>
  <c r="S71" i="1"/>
  <c r="AT11" i="2"/>
  <c r="AT9" i="2"/>
  <c r="AT13" i="2" s="1"/>
  <c r="E73" i="1"/>
  <c r="AW8" i="2" s="1"/>
  <c r="AW12" i="2" s="1"/>
  <c r="AV9" i="2"/>
  <c r="AV13" i="2" s="1"/>
  <c r="H72" i="1"/>
  <c r="I72" i="1" s="1"/>
  <c r="S72" i="1"/>
  <c r="O73" i="1"/>
  <c r="N73" i="1" s="1"/>
  <c r="J73" i="1" s="1"/>
  <c r="D74" i="1" s="1"/>
  <c r="AX7" i="2" s="1"/>
  <c r="AX11" i="2" s="1"/>
  <c r="F73" i="1"/>
  <c r="G73" i="1" s="1"/>
  <c r="AW9" i="2" l="1"/>
  <c r="AW13" i="2" s="1"/>
  <c r="H73" i="1"/>
  <c r="I73" i="1" s="1"/>
  <c r="U73" i="1"/>
  <c r="F74" i="1"/>
  <c r="G74" i="1" s="1"/>
  <c r="R73" i="1"/>
  <c r="P73" i="1"/>
  <c r="Q73" i="1"/>
  <c r="O74" i="1" s="1"/>
  <c r="N74" i="1" s="1"/>
  <c r="S73" i="1" l="1"/>
  <c r="K73" i="1"/>
  <c r="E74" i="1" s="1"/>
  <c r="Q74" i="1"/>
  <c r="K74" i="1" s="1"/>
  <c r="E75" i="1" s="1"/>
  <c r="AY8" i="2" s="1"/>
  <c r="AY12" i="2" s="1"/>
  <c r="U74" i="1"/>
  <c r="R74" i="1"/>
  <c r="J74" i="1"/>
  <c r="D75" i="1" s="1"/>
  <c r="AY7" i="2" s="1"/>
  <c r="AY11" i="2" s="1"/>
  <c r="P74" i="1"/>
  <c r="O75" i="1" l="1"/>
  <c r="N75" i="1" s="1"/>
  <c r="R75" i="1" s="1"/>
  <c r="AY9" i="2"/>
  <c r="AY13" i="2" s="1"/>
  <c r="H74" i="1"/>
  <c r="I74" i="1" s="1"/>
  <c r="AX8" i="2"/>
  <c r="S74" i="1"/>
  <c r="H75" i="1"/>
  <c r="I75" i="1" s="1"/>
  <c r="F75" i="1"/>
  <c r="G75" i="1" s="1"/>
  <c r="Q75" i="1" l="1"/>
  <c r="J75" i="1"/>
  <c r="P75" i="1"/>
  <c r="U75" i="1"/>
  <c r="AX9" i="2"/>
  <c r="AX13" i="2" s="1"/>
  <c r="AX12" i="2"/>
  <c r="O76" i="1"/>
  <c r="N76" i="1" s="1"/>
  <c r="P76" i="1" s="1"/>
  <c r="K75" i="1"/>
  <c r="S75" i="1"/>
  <c r="Q76" i="1" l="1"/>
  <c r="S76" i="1" s="1"/>
  <c r="AA76" i="1" s="1"/>
  <c r="Y76" i="1" s="1"/>
  <c r="U76" i="1"/>
  <c r="J76" i="1"/>
  <c r="D77" i="1" s="1"/>
  <c r="BA7" i="2" s="1"/>
  <c r="BA11" i="2" s="1"/>
  <c r="M76" i="1" l="1"/>
  <c r="E76" i="1" s="1"/>
  <c r="X76" i="1"/>
  <c r="L76" i="1" s="1"/>
  <c r="D76" i="1" s="1"/>
  <c r="O77" i="1"/>
  <c r="N77" i="1" s="1"/>
  <c r="U77" i="1" s="1"/>
  <c r="K76" i="1"/>
  <c r="E77" i="1" s="1"/>
  <c r="F77" i="1"/>
  <c r="G77" i="1" s="1"/>
  <c r="Q77" i="1" l="1"/>
  <c r="J77" i="1"/>
  <c r="R77" i="1"/>
  <c r="P77" i="1"/>
  <c r="AZ7" i="2"/>
  <c r="F76" i="1"/>
  <c r="G76" i="1" s="1"/>
  <c r="R76" i="1"/>
  <c r="Z76" i="1" s="1"/>
  <c r="AZ8" i="2"/>
  <c r="AZ12" i="2" s="1"/>
  <c r="H76" i="1"/>
  <c r="I76" i="1" s="1"/>
  <c r="H77" i="1"/>
  <c r="I77" i="1" s="1"/>
  <c r="BA8" i="2"/>
  <c r="K77" i="1"/>
  <c r="O78" i="1"/>
  <c r="N78" i="1" s="1"/>
  <c r="S77" i="1"/>
  <c r="AZ11" i="2" l="1"/>
  <c r="AZ9" i="2"/>
  <c r="AZ13" i="2" s="1"/>
  <c r="BA9" i="2"/>
  <c r="BA13" i="2" s="1"/>
  <c r="BA12" i="2"/>
  <c r="Q78" i="1"/>
  <c r="S78" i="1" s="1"/>
  <c r="AA78" i="1" s="1"/>
  <c r="Y78" i="1" s="1"/>
  <c r="U78" i="1"/>
  <c r="J78" i="1"/>
  <c r="P78" i="1"/>
  <c r="K78" i="1" l="1"/>
  <c r="M78" i="1"/>
  <c r="E78" i="1" s="1"/>
  <c r="BB8" i="2" s="1"/>
  <c r="BB12" i="2" s="1"/>
  <c r="X78" i="1"/>
  <c r="L78" i="1" s="1"/>
  <c r="D78" i="1" s="1"/>
  <c r="BB7" i="2" s="1"/>
  <c r="BB9" i="2" l="1"/>
  <c r="BB13" i="2" s="1"/>
  <c r="BB11" i="2"/>
  <c r="F78" i="1"/>
  <c r="G78" i="1" s="1"/>
  <c r="G81" i="1" s="1"/>
  <c r="E24" i="1"/>
  <c r="R78" i="1"/>
  <c r="Z78" i="1" s="1"/>
  <c r="H78" i="1"/>
  <c r="F24" i="1"/>
  <c r="E83" i="1"/>
  <c r="I78" i="1" l="1"/>
  <c r="H81" i="1"/>
  <c r="D25" i="1" s="1"/>
  <c r="D24" i="1"/>
</calcChain>
</file>

<file path=xl/sharedStrings.xml><?xml version="1.0" encoding="utf-8"?>
<sst xmlns="http://schemas.openxmlformats.org/spreadsheetml/2006/main" count="57" uniqueCount="52">
  <si>
    <t>Valeur de gage de l'immeuble</t>
  </si>
  <si>
    <t>Fonds propres</t>
  </si>
  <si>
    <t>Hypothèque 1e rang</t>
  </si>
  <si>
    <t>Hypothèque 2e rang</t>
  </si>
  <si>
    <t>Dette hypothécaire totale</t>
  </si>
  <si>
    <t>Amortissement annuel</t>
  </si>
  <si>
    <t>Durée</t>
  </si>
  <si>
    <t>Amortissement prévu sur la durée</t>
  </si>
  <si>
    <t>Taux d'int.</t>
  </si>
  <si>
    <t>Taux marginal d'imposition</t>
  </si>
  <si>
    <t>Coût net annuel du 3e pilier lié</t>
  </si>
  <si>
    <t>Taux d'int. s/épargne 3e pilier lié</t>
  </si>
  <si>
    <t>Impôt unique et distinct lors du retrait</t>
  </si>
  <si>
    <t>Coût total net du 3e pilier lié</t>
  </si>
  <si>
    <r>
      <t xml:space="preserve">Le 3e pilier lié indiqué dans ce tableau est un </t>
    </r>
    <r>
      <rPr>
        <b/>
        <u/>
        <sz val="11"/>
        <color theme="1"/>
        <rFont val="Calibri"/>
        <family val="2"/>
        <scheme val="minor"/>
      </rPr>
      <t>compte bancaire</t>
    </r>
    <r>
      <rPr>
        <b/>
        <sz val="11"/>
        <color theme="1"/>
        <rFont val="Calibri"/>
        <family val="2"/>
        <scheme val="minor"/>
      </rPr>
      <t xml:space="preserve"> sans couvertures de risques.</t>
    </r>
  </si>
  <si>
    <r>
      <t xml:space="preserve">Pour une comparaison avec une </t>
    </r>
    <r>
      <rPr>
        <b/>
        <u/>
        <sz val="11"/>
        <color theme="1"/>
        <rFont val="Calibri"/>
        <family val="2"/>
        <scheme val="minor"/>
      </rPr>
      <t>police de prévoyance liée</t>
    </r>
    <r>
      <rPr>
        <b/>
        <sz val="11"/>
        <color theme="1"/>
        <rFont val="Calibri"/>
        <family val="2"/>
        <scheme val="minor"/>
      </rPr>
      <t xml:space="preserve">, demander une offre à un </t>
    </r>
    <r>
      <rPr>
        <b/>
        <u/>
        <sz val="11"/>
        <color theme="1"/>
        <rFont val="Calibri"/>
        <family val="2"/>
        <scheme val="minor"/>
      </rPr>
      <t>assureur</t>
    </r>
    <r>
      <rPr>
        <b/>
        <sz val="11"/>
        <color theme="1"/>
        <rFont val="Calibri"/>
        <family val="2"/>
        <scheme val="minor"/>
      </rPr>
      <t>.</t>
    </r>
  </si>
  <si>
    <t>Année</t>
  </si>
  <si>
    <t>Hypo 1</t>
  </si>
  <si>
    <t>Hypo 2</t>
  </si>
  <si>
    <t>Charge totale</t>
  </si>
  <si>
    <t>Int. Hypo 1
BRUT</t>
  </si>
  <si>
    <t>Int. Hypo 1
NET</t>
  </si>
  <si>
    <t>Int. Hypo 2
BRUT</t>
  </si>
  <si>
    <t>Int. Hypo 2
NET</t>
  </si>
  <si>
    <t>Solde
Hypo 1</t>
  </si>
  <si>
    <t>Solde
Hypo 2</t>
  </si>
  <si>
    <t>Amortissement direct</t>
  </si>
  <si>
    <t>Amort.
DIRECT 
Hypo 1</t>
  </si>
  <si>
    <t>Amort.
DIRECT 
Hypo 2</t>
  </si>
  <si>
    <t>Amort.
INDIRECT
Hypo 1</t>
  </si>
  <si>
    <t>Amort.
INDIRECT
Hypo 2</t>
  </si>
  <si>
    <t>Test Amort 1</t>
  </si>
  <si>
    <t>Test Amort 2</t>
  </si>
  <si>
    <t>Test Solde Hypo1</t>
  </si>
  <si>
    <t>Test Solde Hypo2</t>
  </si>
  <si>
    <t>Versement en 3e pilier lié</t>
  </si>
  <si>
    <t>Sommes</t>
  </si>
  <si>
    <t>Test
Amort Indirect</t>
  </si>
  <si>
    <t>Amort
Indirect</t>
  </si>
  <si>
    <t>Amort
Indirect
Hypo 1</t>
  </si>
  <si>
    <t>Amort
Indirect
Hypo 2</t>
  </si>
  <si>
    <t>Hypothèque : amortissement direct et / ou indirect ?</t>
  </si>
  <si>
    <t>Solde1
avant amort
indirect</t>
  </si>
  <si>
    <t>Solde2
avant amort
indirect</t>
  </si>
  <si>
    <t>Total des intérêts débiteurs nets payés</t>
  </si>
  <si>
    <t>Tests hypo</t>
  </si>
  <si>
    <t>Valeur de gage</t>
  </si>
  <si>
    <t>Hypothèque 1</t>
  </si>
  <si>
    <t>Hypothèque 2</t>
  </si>
  <si>
    <t>Economie d'impôts annuels</t>
  </si>
  <si>
    <t>Economie d'impôts au total</t>
  </si>
  <si>
    <t>Version 2.0 / 05.02.2018 / 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</si>
</sst>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3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0" fontId="3" fillId="0" borderId="0" xfId="2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9" fontId="3" fillId="0" borderId="0" xfId="2" applyFont="1" applyAlignment="1">
      <alignment vertical="center"/>
    </xf>
    <xf numFmtId="164" fontId="3" fillId="0" borderId="0" xfId="2" applyNumberFormat="1" applyFont="1" applyAlignment="1">
      <alignment vertical="center"/>
    </xf>
    <xf numFmtId="0" fontId="3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43" fontId="3" fillId="2" borderId="0" xfId="1" applyFont="1" applyFill="1" applyAlignment="1">
      <alignment vertical="center"/>
    </xf>
    <xf numFmtId="0" fontId="0" fillId="2" borderId="0" xfId="0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164" fontId="2" fillId="3" borderId="0" xfId="2" applyNumberFormat="1" applyFont="1" applyFill="1" applyAlignment="1">
      <alignment vertical="center"/>
    </xf>
    <xf numFmtId="43" fontId="2" fillId="3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164" fontId="3" fillId="4" borderId="0" xfId="2" applyNumberFormat="1" applyFont="1" applyFill="1" applyAlignment="1">
      <alignment vertical="center"/>
    </xf>
    <xf numFmtId="164" fontId="3" fillId="4" borderId="0" xfId="0" applyNumberFormat="1" applyFont="1" applyFill="1" applyAlignment="1">
      <alignment vertical="center"/>
    </xf>
    <xf numFmtId="43" fontId="3" fillId="4" borderId="0" xfId="1" applyFont="1" applyFill="1" applyAlignment="1">
      <alignment vertical="center"/>
    </xf>
    <xf numFmtId="164" fontId="5" fillId="4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43" fontId="5" fillId="0" borderId="0" xfId="1" applyFont="1" applyAlignment="1" applyProtection="1">
      <alignment vertical="center"/>
      <protection locked="0"/>
    </xf>
    <xf numFmtId="164" fontId="5" fillId="0" borderId="0" xfId="2" applyNumberFormat="1" applyFont="1" applyAlignment="1" applyProtection="1">
      <alignment horizontal="right" vertical="center"/>
      <protection locked="0"/>
    </xf>
    <xf numFmtId="43" fontId="5" fillId="4" borderId="0" xfId="1" applyFont="1" applyFill="1" applyAlignment="1" applyProtection="1">
      <alignment vertical="center"/>
      <protection locked="0"/>
    </xf>
    <xf numFmtId="1" fontId="5" fillId="4" borderId="0" xfId="1" applyNumberFormat="1" applyFont="1" applyFill="1" applyAlignment="1" applyProtection="1">
      <alignment horizontal="right" vertical="center"/>
      <protection locked="0"/>
    </xf>
    <xf numFmtId="43" fontId="5" fillId="2" borderId="0" xfId="1" applyFont="1" applyFill="1" applyAlignment="1" applyProtection="1">
      <alignment vertical="center"/>
      <protection locked="0"/>
    </xf>
    <xf numFmtId="164" fontId="5" fillId="2" borderId="0" xfId="1" applyNumberFormat="1" applyFont="1" applyFill="1" applyAlignment="1" applyProtection="1">
      <alignment vertical="center"/>
      <protection locked="0"/>
    </xf>
    <xf numFmtId="43" fontId="10" fillId="0" borderId="0" xfId="1" applyFont="1" applyAlignment="1">
      <alignment vertical="center"/>
    </xf>
    <xf numFmtId="43" fontId="9" fillId="0" borderId="0" xfId="1" applyFont="1" applyAlignment="1">
      <alignment vertical="center"/>
    </xf>
    <xf numFmtId="43" fontId="10" fillId="0" borderId="0" xfId="1" applyFont="1" applyAlignment="1">
      <alignment horizontal="right" vertical="center"/>
    </xf>
    <xf numFmtId="9" fontId="2" fillId="0" borderId="0" xfId="2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43" fontId="0" fillId="0" borderId="5" xfId="1" applyFont="1" applyBorder="1" applyAlignment="1">
      <alignment vertical="center"/>
    </xf>
    <xf numFmtId="43" fontId="0" fillId="0" borderId="6" xfId="1" applyFont="1" applyBorder="1" applyAlignment="1">
      <alignment vertical="center"/>
    </xf>
    <xf numFmtId="43" fontId="0" fillId="0" borderId="7" xfId="1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/>
    </xf>
    <xf numFmtId="43" fontId="11" fillId="0" borderId="0" xfId="1" applyFont="1" applyAlignment="1">
      <alignment vertical="center"/>
    </xf>
    <xf numFmtId="0" fontId="11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43" fontId="2" fillId="0" borderId="0" xfId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43" fontId="13" fillId="0" borderId="0" xfId="1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43" fontId="13" fillId="0" borderId="0" xfId="0" applyNumberFormat="1" applyFont="1" applyFill="1" applyAlignment="1">
      <alignment vertical="center"/>
    </xf>
    <xf numFmtId="43" fontId="15" fillId="0" borderId="0" xfId="0" applyNumberFormat="1" applyFont="1" applyFill="1" applyAlignment="1">
      <alignment vertical="center"/>
    </xf>
    <xf numFmtId="0" fontId="16" fillId="0" borderId="0" xfId="0" applyFont="1" applyAlignment="1">
      <alignment vertical="center"/>
    </xf>
    <xf numFmtId="43" fontId="16" fillId="0" borderId="0" xfId="1" applyFont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vertical="center"/>
    </xf>
  </cellXfs>
  <cellStyles count="3">
    <cellStyle name="Milliers" xfId="1" builtinId="3"/>
    <cellStyle name="Normal" xfId="0" builtinId="0"/>
    <cellStyle name="Pourcentage" xfId="2" builtinId="5"/>
  </cellStyles>
  <dxfs count="1"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Graphique!$C$11</c:f>
              <c:strCache>
                <c:ptCount val="1"/>
                <c:pt idx="0">
                  <c:v>Hypothèque 1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Graphique!$D$10:$BB$10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cat>
          <c:val>
            <c:numRef>
              <c:f>Graphique!$D$11:$BB$11</c:f>
              <c:numCache>
                <c:formatCode>_(* #,##0.00_);_(* \(#,##0.00\);_(* "-"??_);_(@_)</c:formatCode>
                <c:ptCount val="51"/>
                <c:pt idx="0">
                  <c:v>390000</c:v>
                </c:pt>
                <c:pt idx="1">
                  <c:v>390000</c:v>
                </c:pt>
                <c:pt idx="2">
                  <c:v>390000</c:v>
                </c:pt>
                <c:pt idx="3">
                  <c:v>390000</c:v>
                </c:pt>
                <c:pt idx="4">
                  <c:v>390000</c:v>
                </c:pt>
                <c:pt idx="5">
                  <c:v>390000</c:v>
                </c:pt>
                <c:pt idx="6">
                  <c:v>390000</c:v>
                </c:pt>
                <c:pt idx="7">
                  <c:v>390000</c:v>
                </c:pt>
                <c:pt idx="8">
                  <c:v>390000</c:v>
                </c:pt>
                <c:pt idx="9">
                  <c:v>390000</c:v>
                </c:pt>
                <c:pt idx="10">
                  <c:v>390000</c:v>
                </c:pt>
                <c:pt idx="11">
                  <c:v>390000</c:v>
                </c:pt>
                <c:pt idx="12">
                  <c:v>390000</c:v>
                </c:pt>
                <c:pt idx="13">
                  <c:v>390000</c:v>
                </c:pt>
                <c:pt idx="14">
                  <c:v>390000</c:v>
                </c:pt>
                <c:pt idx="15">
                  <c:v>390000</c:v>
                </c:pt>
                <c:pt idx="16">
                  <c:v>390000</c:v>
                </c:pt>
                <c:pt idx="17">
                  <c:v>390000</c:v>
                </c:pt>
                <c:pt idx="18">
                  <c:v>390000</c:v>
                </c:pt>
                <c:pt idx="19">
                  <c:v>385000</c:v>
                </c:pt>
                <c:pt idx="20">
                  <c:v>380000</c:v>
                </c:pt>
                <c:pt idx="21">
                  <c:v>375000</c:v>
                </c:pt>
                <c:pt idx="22">
                  <c:v>370000</c:v>
                </c:pt>
                <c:pt idx="23">
                  <c:v>365000</c:v>
                </c:pt>
                <c:pt idx="24">
                  <c:v>360000</c:v>
                </c:pt>
                <c:pt idx="25">
                  <c:v>355000</c:v>
                </c:pt>
                <c:pt idx="26">
                  <c:v>350000</c:v>
                </c:pt>
                <c:pt idx="27">
                  <c:v>345000</c:v>
                </c:pt>
                <c:pt idx="28">
                  <c:v>340000</c:v>
                </c:pt>
                <c:pt idx="29">
                  <c:v>335000</c:v>
                </c:pt>
                <c:pt idx="30">
                  <c:v>330000</c:v>
                </c:pt>
                <c:pt idx="31">
                  <c:v>325000</c:v>
                </c:pt>
                <c:pt idx="32">
                  <c:v>320000</c:v>
                </c:pt>
                <c:pt idx="33">
                  <c:v>315000</c:v>
                </c:pt>
                <c:pt idx="34">
                  <c:v>310000</c:v>
                </c:pt>
                <c:pt idx="35">
                  <c:v>305000</c:v>
                </c:pt>
                <c:pt idx="36">
                  <c:v>300000</c:v>
                </c:pt>
                <c:pt idx="37">
                  <c:v>295000</c:v>
                </c:pt>
                <c:pt idx="38">
                  <c:v>290000</c:v>
                </c:pt>
                <c:pt idx="39">
                  <c:v>285000</c:v>
                </c:pt>
                <c:pt idx="40">
                  <c:v>53045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Graphique!$C$12</c:f>
              <c:strCache>
                <c:ptCount val="1"/>
                <c:pt idx="0">
                  <c:v>Hypothèque 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Graphique!$D$10:$BB$10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cat>
          <c:val>
            <c:numRef>
              <c:f>Graphique!$D$12:$BB$12</c:f>
              <c:numCache>
                <c:formatCode>_(* #,##0.00_);_(* \(#,##0.00\);_(* "-"??_);_(@_)</c:formatCode>
                <c:ptCount val="51"/>
                <c:pt idx="0">
                  <c:v>90000</c:v>
                </c:pt>
                <c:pt idx="1">
                  <c:v>85000</c:v>
                </c:pt>
                <c:pt idx="2">
                  <c:v>80000</c:v>
                </c:pt>
                <c:pt idx="3">
                  <c:v>75000</c:v>
                </c:pt>
                <c:pt idx="4">
                  <c:v>70000</c:v>
                </c:pt>
                <c:pt idx="5">
                  <c:v>65000</c:v>
                </c:pt>
                <c:pt idx="6">
                  <c:v>60000</c:v>
                </c:pt>
                <c:pt idx="7">
                  <c:v>55000</c:v>
                </c:pt>
                <c:pt idx="8">
                  <c:v>50000</c:v>
                </c:pt>
                <c:pt idx="9">
                  <c:v>45000</c:v>
                </c:pt>
                <c:pt idx="10">
                  <c:v>40000</c:v>
                </c:pt>
                <c:pt idx="11">
                  <c:v>35000</c:v>
                </c:pt>
                <c:pt idx="12">
                  <c:v>30000</c:v>
                </c:pt>
                <c:pt idx="13">
                  <c:v>25000</c:v>
                </c:pt>
                <c:pt idx="14">
                  <c:v>20000</c:v>
                </c:pt>
                <c:pt idx="15">
                  <c:v>15000</c:v>
                </c:pt>
                <c:pt idx="16">
                  <c:v>10000</c:v>
                </c:pt>
                <c:pt idx="17">
                  <c:v>5000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Graphique!$C$13</c:f>
              <c:strCache>
                <c:ptCount val="1"/>
                <c:pt idx="0">
                  <c:v>Fonds propres</c:v>
                </c:pt>
              </c:strCache>
            </c:strRef>
          </c:tx>
          <c:spPr>
            <a:solidFill>
              <a:srgbClr val="66FF33"/>
            </a:solidFill>
          </c:spPr>
          <c:invertIfNegative val="0"/>
          <c:cat>
            <c:numRef>
              <c:f>Graphique!$D$10:$BB$10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cat>
          <c:val>
            <c:numRef>
              <c:f>Graphique!$D$13:$BB$13</c:f>
              <c:numCache>
                <c:formatCode>_(* #,##0.00_);_(* \(#,##0.00\);_(* "-"??_);_(@_)</c:formatCode>
                <c:ptCount val="51"/>
                <c:pt idx="0">
                  <c:v>120000</c:v>
                </c:pt>
                <c:pt idx="1">
                  <c:v>125000</c:v>
                </c:pt>
                <c:pt idx="2">
                  <c:v>130000</c:v>
                </c:pt>
                <c:pt idx="3">
                  <c:v>135000</c:v>
                </c:pt>
                <c:pt idx="4">
                  <c:v>140000</c:v>
                </c:pt>
                <c:pt idx="5">
                  <c:v>145000</c:v>
                </c:pt>
                <c:pt idx="6">
                  <c:v>150000</c:v>
                </c:pt>
                <c:pt idx="7">
                  <c:v>155000</c:v>
                </c:pt>
                <c:pt idx="8">
                  <c:v>160000</c:v>
                </c:pt>
                <c:pt idx="9">
                  <c:v>165000</c:v>
                </c:pt>
                <c:pt idx="10">
                  <c:v>170000</c:v>
                </c:pt>
                <c:pt idx="11">
                  <c:v>175000</c:v>
                </c:pt>
                <c:pt idx="12">
                  <c:v>180000</c:v>
                </c:pt>
                <c:pt idx="13">
                  <c:v>185000</c:v>
                </c:pt>
                <c:pt idx="14">
                  <c:v>190000</c:v>
                </c:pt>
                <c:pt idx="15">
                  <c:v>195000</c:v>
                </c:pt>
                <c:pt idx="16">
                  <c:v>200000</c:v>
                </c:pt>
                <c:pt idx="17">
                  <c:v>205000</c:v>
                </c:pt>
                <c:pt idx="18">
                  <c:v>210000</c:v>
                </c:pt>
                <c:pt idx="19">
                  <c:v>215000</c:v>
                </c:pt>
                <c:pt idx="20">
                  <c:v>220000</c:v>
                </c:pt>
                <c:pt idx="21">
                  <c:v>225000</c:v>
                </c:pt>
                <c:pt idx="22">
                  <c:v>230000</c:v>
                </c:pt>
                <c:pt idx="23">
                  <c:v>235000</c:v>
                </c:pt>
                <c:pt idx="24">
                  <c:v>240000</c:v>
                </c:pt>
                <c:pt idx="25">
                  <c:v>245000</c:v>
                </c:pt>
                <c:pt idx="26">
                  <c:v>250000</c:v>
                </c:pt>
                <c:pt idx="27">
                  <c:v>255000</c:v>
                </c:pt>
                <c:pt idx="28">
                  <c:v>260000</c:v>
                </c:pt>
                <c:pt idx="29">
                  <c:v>265000</c:v>
                </c:pt>
                <c:pt idx="30">
                  <c:v>270000</c:v>
                </c:pt>
                <c:pt idx="31">
                  <c:v>275000</c:v>
                </c:pt>
                <c:pt idx="32">
                  <c:v>280000</c:v>
                </c:pt>
                <c:pt idx="33">
                  <c:v>285000</c:v>
                </c:pt>
                <c:pt idx="34">
                  <c:v>290000</c:v>
                </c:pt>
                <c:pt idx="35">
                  <c:v>295000</c:v>
                </c:pt>
                <c:pt idx="36">
                  <c:v>300000</c:v>
                </c:pt>
                <c:pt idx="37">
                  <c:v>305000</c:v>
                </c:pt>
                <c:pt idx="38">
                  <c:v>310000</c:v>
                </c:pt>
                <c:pt idx="39">
                  <c:v>315000</c:v>
                </c:pt>
                <c:pt idx="40">
                  <c:v>546955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3448832"/>
        <c:axId val="243913856"/>
      </c:barChart>
      <c:catAx>
        <c:axId val="24344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3913856"/>
        <c:crosses val="autoZero"/>
        <c:auto val="1"/>
        <c:lblAlgn val="ctr"/>
        <c:lblOffset val="100"/>
        <c:noMultiLvlLbl val="0"/>
      </c:catAx>
      <c:valAx>
        <c:axId val="24391385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2434488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14</xdr:row>
      <xdr:rowOff>52386</xdr:rowOff>
    </xdr:from>
    <xdr:to>
      <xdr:col>11</xdr:col>
      <xdr:colOff>723899</xdr:colOff>
      <xdr:row>33</xdr:row>
      <xdr:rowOff>276224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1"/>
  <sheetViews>
    <sheetView showGridLines="0" tabSelected="1" workbookViewId="0">
      <selection activeCell="K3" sqref="K3"/>
    </sheetView>
  </sheetViews>
  <sheetFormatPr baseColWidth="10" defaultRowHeight="15" x14ac:dyDescent="0.25"/>
  <cols>
    <col min="1" max="1" width="1.28515625" style="1" customWidth="1"/>
    <col min="2" max="2" width="47.140625" style="1" customWidth="1"/>
    <col min="3" max="3" width="9.7109375" style="1" customWidth="1"/>
    <col min="4" max="4" width="14.5703125" style="1" bestFit="1" customWidth="1"/>
    <col min="5" max="13" width="11.42578125" style="1"/>
    <col min="14" max="15" width="11.42578125" style="18" customWidth="1"/>
    <col min="16" max="28" width="11.42578125" style="1" customWidth="1"/>
    <col min="29" max="29" width="15.7109375" style="1" customWidth="1"/>
    <col min="30" max="30" width="11.42578125" style="1" customWidth="1"/>
    <col min="31" max="16384" width="11.42578125" style="1"/>
  </cols>
  <sheetData>
    <row r="1" spans="2:28" ht="6.75" customHeight="1" x14ac:dyDescent="0.25"/>
    <row r="2" spans="2:28" ht="28.5" x14ac:dyDescent="0.25">
      <c r="B2" s="3" t="s">
        <v>41</v>
      </c>
      <c r="C2" s="2"/>
      <c r="K2" s="2" t="s">
        <v>51</v>
      </c>
      <c r="L2" s="2"/>
      <c r="M2" s="2"/>
      <c r="N2" s="17"/>
      <c r="O2" s="17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2:28" ht="6.75" customHeight="1" x14ac:dyDescent="0.25"/>
    <row r="4" spans="2:28" ht="20.100000000000001" customHeight="1" x14ac:dyDescent="0.25">
      <c r="B4" s="9" t="s">
        <v>14</v>
      </c>
      <c r="C4" s="12"/>
      <c r="D4" s="12"/>
      <c r="E4" s="12"/>
      <c r="F4" s="12"/>
      <c r="G4" s="18"/>
      <c r="H4" s="18"/>
      <c r="I4" s="18"/>
    </row>
    <row r="5" spans="2:28" ht="20.100000000000001" customHeight="1" x14ac:dyDescent="0.25">
      <c r="B5" s="9" t="s">
        <v>15</v>
      </c>
      <c r="C5" s="12"/>
      <c r="D5" s="12"/>
      <c r="E5" s="12"/>
      <c r="F5" s="12"/>
      <c r="G5" s="18"/>
      <c r="H5" s="18"/>
      <c r="I5" s="18"/>
    </row>
    <row r="6" spans="2:28" ht="6.75" customHeight="1" x14ac:dyDescent="0.25"/>
    <row r="7" spans="2:28" ht="20.100000000000001" customHeight="1" x14ac:dyDescent="0.25">
      <c r="B7" s="2" t="s">
        <v>0</v>
      </c>
      <c r="C7" s="8">
        <v>1</v>
      </c>
      <c r="D7" s="27">
        <v>600000</v>
      </c>
      <c r="E7" s="5"/>
      <c r="F7" s="2"/>
      <c r="G7" s="38" t="s">
        <v>45</v>
      </c>
      <c r="H7" s="38"/>
      <c r="I7" s="38"/>
    </row>
    <row r="8" spans="2:28" ht="20.100000000000001" customHeight="1" x14ac:dyDescent="0.25">
      <c r="B8" s="2" t="s">
        <v>1</v>
      </c>
      <c r="C8" s="8">
        <f>+D8/$D$7</f>
        <v>0.2</v>
      </c>
      <c r="D8" s="27">
        <v>120000</v>
      </c>
      <c r="E8" s="4"/>
      <c r="F8" s="2"/>
      <c r="G8" s="33">
        <f>+D7-D8</f>
        <v>480000</v>
      </c>
      <c r="H8" s="33">
        <f>+D7*0.65</f>
        <v>390000</v>
      </c>
      <c r="I8" s="33"/>
      <c r="J8" s="34"/>
    </row>
    <row r="9" spans="2:28" ht="20.100000000000001" customHeight="1" x14ac:dyDescent="0.25">
      <c r="B9" s="14" t="s">
        <v>4</v>
      </c>
      <c r="C9" s="15">
        <f>+C7-C8</f>
        <v>0.8</v>
      </c>
      <c r="D9" s="16">
        <f>+D7-D8</f>
        <v>480000</v>
      </c>
      <c r="E9" s="4"/>
      <c r="F9" s="2"/>
      <c r="G9" s="33"/>
      <c r="H9" s="33"/>
      <c r="I9" s="33"/>
      <c r="J9" s="34"/>
    </row>
    <row r="10" spans="2:28" ht="20.100000000000001" customHeight="1" x14ac:dyDescent="0.25">
      <c r="B10" s="14" t="s">
        <v>2</v>
      </c>
      <c r="C10" s="15">
        <f>+Hypo1_Initial/D7</f>
        <v>0.65</v>
      </c>
      <c r="D10" s="16">
        <f>+G10</f>
        <v>390000</v>
      </c>
      <c r="E10" s="6" t="s">
        <v>8</v>
      </c>
      <c r="F10" s="28">
        <v>0.01</v>
      </c>
      <c r="G10" s="35">
        <f>IF(G8&lt;H8,G8,H8)</f>
        <v>390000</v>
      </c>
      <c r="H10" s="33"/>
      <c r="I10" s="33"/>
      <c r="J10" s="34"/>
    </row>
    <row r="11" spans="2:28" ht="20.100000000000001" customHeight="1" x14ac:dyDescent="0.25">
      <c r="B11" s="14" t="s">
        <v>3</v>
      </c>
      <c r="C11" s="15">
        <f>+D11/D7</f>
        <v>0.15</v>
      </c>
      <c r="D11" s="16">
        <f>+G11</f>
        <v>90000</v>
      </c>
      <c r="E11" s="6" t="s">
        <v>8</v>
      </c>
      <c r="F11" s="28">
        <v>0.02</v>
      </c>
      <c r="G11" s="35">
        <f>IF(HypoTotal&gt;G10,HypoTotal-G10,0)</f>
        <v>90000</v>
      </c>
      <c r="H11" s="33"/>
      <c r="I11" s="33"/>
      <c r="J11" s="34"/>
    </row>
    <row r="12" spans="2:28" ht="20.100000000000001" customHeight="1" x14ac:dyDescent="0.25">
      <c r="B12" s="21" t="s">
        <v>7</v>
      </c>
      <c r="C12" s="22">
        <f>+D12/D7</f>
        <v>0.66666666666666663</v>
      </c>
      <c r="D12" s="29">
        <v>400000</v>
      </c>
      <c r="E12" s="2"/>
      <c r="F12" s="7"/>
      <c r="G12" s="36"/>
      <c r="H12" s="37"/>
      <c r="I12" s="37"/>
    </row>
    <row r="13" spans="2:28" ht="20.100000000000001" customHeight="1" x14ac:dyDescent="0.25">
      <c r="B13" s="21" t="s">
        <v>6</v>
      </c>
      <c r="C13" s="22"/>
      <c r="D13" s="30">
        <v>40</v>
      </c>
      <c r="E13" s="2"/>
      <c r="F13" s="2"/>
      <c r="G13" s="37"/>
      <c r="H13" s="37"/>
      <c r="I13" s="37"/>
    </row>
    <row r="14" spans="2:28" ht="20.100000000000001" customHeight="1" x14ac:dyDescent="0.25">
      <c r="B14" s="21" t="s">
        <v>5</v>
      </c>
      <c r="C14" s="23"/>
      <c r="D14" s="24">
        <f>+D12/D13</f>
        <v>10000</v>
      </c>
      <c r="E14" s="2"/>
      <c r="F14" s="2"/>
      <c r="G14" s="2"/>
      <c r="H14" s="2"/>
      <c r="I14" s="2"/>
    </row>
    <row r="15" spans="2:28" ht="20.100000000000001" customHeight="1" x14ac:dyDescent="0.25">
      <c r="B15" s="9" t="s">
        <v>35</v>
      </c>
      <c r="C15" s="13"/>
      <c r="D15" s="31">
        <v>5000</v>
      </c>
      <c r="E15" s="2"/>
      <c r="F15" s="2"/>
      <c r="G15" s="2"/>
      <c r="H15" s="2"/>
      <c r="I15" s="2"/>
    </row>
    <row r="16" spans="2:28" ht="20.100000000000001" customHeight="1" x14ac:dyDescent="0.25">
      <c r="B16" s="9" t="s">
        <v>11</v>
      </c>
      <c r="C16" s="13"/>
      <c r="D16" s="32">
        <v>7.4999999999999997E-3</v>
      </c>
      <c r="E16" s="2"/>
      <c r="F16" s="2"/>
      <c r="G16" s="2"/>
      <c r="H16" s="2"/>
      <c r="I16" s="2"/>
    </row>
    <row r="17" spans="1:36" ht="20.100000000000001" customHeight="1" x14ac:dyDescent="0.25">
      <c r="B17" s="9" t="s">
        <v>9</v>
      </c>
      <c r="C17" s="49">
        <v>0.25</v>
      </c>
      <c r="D17" s="11"/>
      <c r="E17" s="2"/>
      <c r="F17" s="2"/>
      <c r="G17" s="2"/>
      <c r="H17" s="2"/>
      <c r="I17" s="2"/>
    </row>
    <row r="18" spans="1:36" ht="20.100000000000001" customHeight="1" x14ac:dyDescent="0.25">
      <c r="B18" s="9" t="s">
        <v>10</v>
      </c>
      <c r="C18" s="10"/>
      <c r="D18" s="11">
        <f>+D15*(1-C17)</f>
        <v>3750</v>
      </c>
      <c r="E18" s="46" t="s">
        <v>49</v>
      </c>
      <c r="F18" s="47">
        <f>+Versement_3a-D18</f>
        <v>1250</v>
      </c>
      <c r="G18" s="2"/>
      <c r="H18" s="2"/>
      <c r="I18" s="2"/>
    </row>
    <row r="19" spans="1:36" ht="20.100000000000001" customHeight="1" x14ac:dyDescent="0.25">
      <c r="B19" s="9" t="s">
        <v>13</v>
      </c>
      <c r="C19" s="10"/>
      <c r="D19" s="11">
        <f>+D18*D13</f>
        <v>150000</v>
      </c>
      <c r="E19" s="46"/>
      <c r="F19" s="48"/>
      <c r="G19" s="2"/>
      <c r="H19" s="2"/>
      <c r="I19" s="2"/>
    </row>
    <row r="20" spans="1:36" ht="20.100000000000001" customHeight="1" x14ac:dyDescent="0.25">
      <c r="B20" s="9" t="str">
        <f>"Capital prévisible brut dans "&amp;D13 &amp;" ans"</f>
        <v>Capital prévisible brut dans 40 ans</v>
      </c>
      <c r="C20" s="10"/>
      <c r="D20" s="11">
        <f>ROUND(-FV(D16,D13,D15,,1),0)</f>
        <v>233974</v>
      </c>
      <c r="E20" s="46" t="s">
        <v>50</v>
      </c>
      <c r="F20" s="47">
        <f>+(F18*Durée_Amort)-D21</f>
        <v>42981</v>
      </c>
      <c r="G20" s="2"/>
      <c r="H20" s="2"/>
      <c r="I20" s="2"/>
    </row>
    <row r="21" spans="1:36" ht="20.100000000000001" customHeight="1" x14ac:dyDescent="0.25">
      <c r="B21" s="9" t="s">
        <v>12</v>
      </c>
      <c r="C21" s="49">
        <v>0.03</v>
      </c>
      <c r="D21" s="11">
        <f>ROUND(D20*C21,0)</f>
        <v>7019</v>
      </c>
      <c r="E21" s="46"/>
      <c r="F21" s="48"/>
      <c r="G21" s="2"/>
      <c r="H21" s="2"/>
      <c r="I21" s="2"/>
    </row>
    <row r="22" spans="1:36" ht="20.100000000000001" customHeight="1" x14ac:dyDescent="0.25">
      <c r="B22" s="21" t="str">
        <f>"Capital net prévisible dans "&amp;D13 &amp;" ans"</f>
        <v>Capital net prévisible dans 40 ans</v>
      </c>
      <c r="C22" s="25"/>
      <c r="D22" s="24">
        <f>+D20-D21</f>
        <v>226955</v>
      </c>
      <c r="E22" s="2"/>
      <c r="F22" s="2"/>
      <c r="G22" s="2"/>
      <c r="H22" s="2"/>
      <c r="I22" s="2"/>
    </row>
    <row r="23" spans="1:36" s="18" customFormat="1" ht="20.100000000000001" customHeight="1" x14ac:dyDescent="0.25">
      <c r="B23" s="21" t="s">
        <v>26</v>
      </c>
      <c r="C23" s="25"/>
      <c r="D23" s="24">
        <f>IF(D14&gt;D15,D14-D15,0)</f>
        <v>5000</v>
      </c>
      <c r="E23" s="17"/>
      <c r="F23" s="17"/>
      <c r="G23" s="17"/>
      <c r="H23" s="17"/>
      <c r="I23" s="17"/>
    </row>
    <row r="24" spans="1:36" ht="20.100000000000001" customHeight="1" x14ac:dyDescent="0.25">
      <c r="B24" s="14" t="str">
        <f>"Solde de la dette dans " &amp;D13 &amp;" ans"</f>
        <v>Solde de la dette dans 40 ans</v>
      </c>
      <c r="C24" s="14"/>
      <c r="D24" s="16">
        <f>+E24+F24</f>
        <v>53045</v>
      </c>
      <c r="E24" s="33">
        <f>VLOOKUP(Durée_Amort,Tabelle_Capitaux,2)</f>
        <v>53045</v>
      </c>
      <c r="F24" s="33">
        <f>VLOOKUP(Durée_Amort,Tabelle_Capitaux,3)</f>
        <v>0</v>
      </c>
      <c r="G24" s="2"/>
      <c r="H24" s="2"/>
      <c r="I24" s="2"/>
    </row>
    <row r="25" spans="1:36" ht="20.100000000000001" customHeight="1" x14ac:dyDescent="0.25">
      <c r="B25" s="14" t="s">
        <v>44</v>
      </c>
      <c r="C25" s="14"/>
      <c r="D25" s="16">
        <f>+Total_IntNet1+Total_IntNet2</f>
        <v>125835.33749999999</v>
      </c>
      <c r="E25" s="2"/>
      <c r="F25" s="2"/>
      <c r="G25" s="2"/>
      <c r="H25" s="2"/>
      <c r="I25" s="2"/>
    </row>
    <row r="26" spans="1:36" ht="20.100000000000001" customHeight="1" x14ac:dyDescent="0.25">
      <c r="A26" s="56"/>
      <c r="B26" s="71"/>
      <c r="C26" s="71"/>
      <c r="D26" s="72"/>
      <c r="E26" s="71"/>
      <c r="F26" s="71"/>
      <c r="G26" s="71"/>
      <c r="H26" s="71"/>
      <c r="I26" s="71"/>
      <c r="J26" s="56"/>
      <c r="K26" s="56"/>
      <c r="L26" s="56"/>
      <c r="M26" s="56"/>
      <c r="N26" s="73"/>
      <c r="O26" s="73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</row>
    <row r="27" spans="1:36" s="65" customFormat="1" ht="50.1" customHeight="1" x14ac:dyDescent="0.25">
      <c r="B27" s="59"/>
      <c r="C27" s="59" t="s">
        <v>16</v>
      </c>
      <c r="D27" s="60" t="s">
        <v>17</v>
      </c>
      <c r="E27" s="59" t="s">
        <v>18</v>
      </c>
      <c r="F27" s="61" t="s">
        <v>20</v>
      </c>
      <c r="G27" s="62" t="s">
        <v>21</v>
      </c>
      <c r="H27" s="61" t="s">
        <v>22</v>
      </c>
      <c r="I27" s="62" t="s">
        <v>23</v>
      </c>
      <c r="J27" s="62" t="s">
        <v>27</v>
      </c>
      <c r="K27" s="62" t="s">
        <v>28</v>
      </c>
      <c r="L27" s="62" t="s">
        <v>29</v>
      </c>
      <c r="M27" s="62" t="s">
        <v>30</v>
      </c>
      <c r="N27" s="63" t="s">
        <v>31</v>
      </c>
      <c r="O27" s="63" t="s">
        <v>32</v>
      </c>
      <c r="P27" s="63" t="s">
        <v>33</v>
      </c>
      <c r="Q27" s="63" t="s">
        <v>34</v>
      </c>
      <c r="R27" s="62" t="s">
        <v>24</v>
      </c>
      <c r="S27" s="62" t="s">
        <v>25</v>
      </c>
      <c r="T27" s="62"/>
      <c r="U27" s="62"/>
      <c r="V27" s="64" t="s">
        <v>37</v>
      </c>
      <c r="W27" s="64" t="s">
        <v>38</v>
      </c>
      <c r="X27" s="64" t="s">
        <v>39</v>
      </c>
      <c r="Y27" s="64" t="s">
        <v>40</v>
      </c>
      <c r="Z27" s="64" t="s">
        <v>42</v>
      </c>
      <c r="AA27" s="64" t="s">
        <v>43</v>
      </c>
      <c r="AB27" s="62"/>
      <c r="AC27" s="59" t="s">
        <v>19</v>
      </c>
    </row>
    <row r="28" spans="1:36" s="66" customFormat="1" ht="20.100000000000001" customHeight="1" x14ac:dyDescent="0.25">
      <c r="B28" s="66">
        <v>0</v>
      </c>
      <c r="C28" s="66">
        <v>0</v>
      </c>
      <c r="D28" s="67">
        <f>+D10</f>
        <v>390000</v>
      </c>
      <c r="E28" s="67">
        <f>+D11</f>
        <v>90000</v>
      </c>
      <c r="F28" s="67">
        <f t="shared" ref="F28:F59" si="0">+D28*Taux1</f>
        <v>3900</v>
      </c>
      <c r="G28" s="67">
        <f t="shared" ref="G28:G59" si="1">IF(C28&gt;Durée_Amort,0,+F28*(1-Taux_M_I))</f>
        <v>2925</v>
      </c>
      <c r="H28" s="67">
        <f>+E28*$F$11</f>
        <v>1800</v>
      </c>
      <c r="I28" s="67">
        <f>+H28*(1-$C$17)</f>
        <v>1350</v>
      </c>
      <c r="J28" s="67">
        <f>+N28</f>
        <v>0</v>
      </c>
      <c r="K28" s="67">
        <f>IF(Q28&lt;0,0,O28)</f>
        <v>5000</v>
      </c>
      <c r="L28" s="67">
        <f>+X28</f>
        <v>0</v>
      </c>
      <c r="M28" s="67">
        <f>+Y28</f>
        <v>0</v>
      </c>
      <c r="N28" s="67">
        <f t="shared" ref="N28:N59" si="2">IF(O28&lt;Amort_Direct,Amort_Direct-O28,0)</f>
        <v>0</v>
      </c>
      <c r="O28" s="67">
        <f>IF(H2_0=0,0,IF(H2_0&gt;Amort_Direct,Amort_Direct,0))</f>
        <v>5000</v>
      </c>
      <c r="P28" s="67">
        <f>+D28-N28</f>
        <v>390000</v>
      </c>
      <c r="Q28" s="67">
        <f>+E28-O28</f>
        <v>85000</v>
      </c>
      <c r="R28" s="67">
        <f>+D28-N28</f>
        <v>390000</v>
      </c>
      <c r="S28" s="67">
        <f>IF(Q28&lt;0,0,Q28)</f>
        <v>85000</v>
      </c>
      <c r="T28" s="67"/>
      <c r="U28" s="67">
        <f>+N28+O28</f>
        <v>5000</v>
      </c>
      <c r="V28" s="67" t="b">
        <f>IF(C28=$D$13,TRUE,FALSE)</f>
        <v>0</v>
      </c>
      <c r="W28" s="67" t="b">
        <f t="shared" ref="W28:W67" si="3">IF(V28=TRUE,$D$22)</f>
        <v>0</v>
      </c>
      <c r="X28" s="67">
        <f t="shared" ref="X28:X51" si="4">IF(V28=FALSE,0,W28-Y28)</f>
        <v>0</v>
      </c>
      <c r="Y28" s="67">
        <f t="shared" ref="Y28:Y51" si="5">IF(V28=FALSE,0,IF(W28&gt;AA28,AA28,W28))</f>
        <v>0</v>
      </c>
      <c r="Z28" s="67">
        <f t="shared" ref="Z28:Z51" si="6">IF(V28=TRUE,R28,0)</f>
        <v>0</v>
      </c>
      <c r="AA28" s="67">
        <f t="shared" ref="AA28:AA51" si="7">IF(V28=TRUE,S28,0)</f>
        <v>0</v>
      </c>
      <c r="AB28" s="67"/>
      <c r="AC28" s="67"/>
    </row>
    <row r="29" spans="1:36" s="66" customFormat="1" ht="20.100000000000001" customHeight="1" x14ac:dyDescent="0.25">
      <c r="B29" s="66">
        <f>+B28+1</f>
        <v>1</v>
      </c>
      <c r="C29" s="66">
        <f t="shared" ref="C29:C60" si="8">IF(B29&gt;Durée_Amort,"",B29)</f>
        <v>1</v>
      </c>
      <c r="D29" s="67">
        <f t="shared" ref="D29:D60" si="9">IF(C29&gt;Durée_Amort,0,+D28-J28-L29)</f>
        <v>390000</v>
      </c>
      <c r="E29" s="67">
        <f t="shared" ref="E29:E60" si="10">IF(C29&gt;Durée_Amort,0,E28-K28-M29)</f>
        <v>85000</v>
      </c>
      <c r="F29" s="67">
        <f t="shared" si="0"/>
        <v>3900</v>
      </c>
      <c r="G29" s="67">
        <f t="shared" si="1"/>
        <v>2925</v>
      </c>
      <c r="H29" s="67">
        <f t="shared" ref="H29:H33" si="11">+E29*$F$11</f>
        <v>1700</v>
      </c>
      <c r="I29" s="67">
        <f t="shared" ref="I29:I60" si="12">+H29*(1-Taux_M_I)</f>
        <v>1275</v>
      </c>
      <c r="J29" s="67">
        <f t="shared" ref="J29:J78" si="13">+N29</f>
        <v>0</v>
      </c>
      <c r="K29" s="67">
        <f t="shared" ref="K29:K78" si="14">IF(Q29&lt;0,0,O29)</f>
        <v>5000</v>
      </c>
      <c r="L29" s="67">
        <f t="shared" ref="L29:L78" si="15">+X29</f>
        <v>0</v>
      </c>
      <c r="M29" s="67">
        <f t="shared" ref="M29:M78" si="16">+Y29</f>
        <v>0</v>
      </c>
      <c r="N29" s="67">
        <f t="shared" si="2"/>
        <v>0</v>
      </c>
      <c r="O29" s="67">
        <f t="shared" ref="O29:O60" si="17">IF(Q28&lt;Amort_Direct,Q28,Amort_Direct)</f>
        <v>5000</v>
      </c>
      <c r="P29" s="67">
        <f>+P28-N29</f>
        <v>390000</v>
      </c>
      <c r="Q29" s="67">
        <f>+Q28-O29</f>
        <v>80000</v>
      </c>
      <c r="R29" s="67">
        <f t="shared" ref="R29:R78" si="18">+D29-N29</f>
        <v>390000</v>
      </c>
      <c r="S29" s="67">
        <f t="shared" ref="S29:S78" si="19">IF(Q29&lt;0,0,Q29)</f>
        <v>80000</v>
      </c>
      <c r="T29" s="67"/>
      <c r="U29" s="67">
        <f t="shared" ref="U29:U78" si="20">+N29+O29</f>
        <v>5000</v>
      </c>
      <c r="V29" s="67" t="b">
        <f t="shared" ref="V29:V78" si="21">IF(C29=$D$13,TRUE,FALSE)</f>
        <v>0</v>
      </c>
      <c r="W29" s="67" t="b">
        <f t="shared" si="3"/>
        <v>0</v>
      </c>
      <c r="X29" s="67">
        <f t="shared" si="4"/>
        <v>0</v>
      </c>
      <c r="Y29" s="67">
        <f t="shared" si="5"/>
        <v>0</v>
      </c>
      <c r="Z29" s="67">
        <f t="shared" si="6"/>
        <v>0</v>
      </c>
      <c r="AA29" s="67">
        <f t="shared" si="7"/>
        <v>0</v>
      </c>
      <c r="AB29" s="67"/>
      <c r="AC29" s="67"/>
    </row>
    <row r="30" spans="1:36" s="66" customFormat="1" ht="20.100000000000001" customHeight="1" x14ac:dyDescent="0.25">
      <c r="B30" s="66">
        <f t="shared" ref="B30:B78" si="22">+B29+1</f>
        <v>2</v>
      </c>
      <c r="C30" s="66">
        <f t="shared" si="8"/>
        <v>2</v>
      </c>
      <c r="D30" s="67">
        <f t="shared" si="9"/>
        <v>390000</v>
      </c>
      <c r="E30" s="67">
        <f t="shared" si="10"/>
        <v>80000</v>
      </c>
      <c r="F30" s="67">
        <f t="shared" si="0"/>
        <v>3900</v>
      </c>
      <c r="G30" s="67">
        <f t="shared" si="1"/>
        <v>2925</v>
      </c>
      <c r="H30" s="67">
        <f t="shared" si="11"/>
        <v>1600</v>
      </c>
      <c r="I30" s="67">
        <f t="shared" si="12"/>
        <v>1200</v>
      </c>
      <c r="J30" s="67">
        <f t="shared" si="13"/>
        <v>0</v>
      </c>
      <c r="K30" s="67">
        <f t="shared" si="14"/>
        <v>5000</v>
      </c>
      <c r="L30" s="67">
        <f t="shared" si="15"/>
        <v>0</v>
      </c>
      <c r="M30" s="67">
        <f t="shared" si="16"/>
        <v>0</v>
      </c>
      <c r="N30" s="67">
        <f t="shared" si="2"/>
        <v>0</v>
      </c>
      <c r="O30" s="67">
        <f t="shared" si="17"/>
        <v>5000</v>
      </c>
      <c r="P30" s="67">
        <f t="shared" ref="P30:P78" si="23">+P29-N30</f>
        <v>390000</v>
      </c>
      <c r="Q30" s="67">
        <f t="shared" ref="Q30:Q78" si="24">+Q29-O30</f>
        <v>75000</v>
      </c>
      <c r="R30" s="67">
        <f t="shared" si="18"/>
        <v>390000</v>
      </c>
      <c r="S30" s="67">
        <f t="shared" si="19"/>
        <v>75000</v>
      </c>
      <c r="T30" s="67"/>
      <c r="U30" s="67">
        <f t="shared" si="20"/>
        <v>5000</v>
      </c>
      <c r="V30" s="67" t="b">
        <f t="shared" si="21"/>
        <v>0</v>
      </c>
      <c r="W30" s="67" t="b">
        <f t="shared" si="3"/>
        <v>0</v>
      </c>
      <c r="X30" s="67">
        <f t="shared" si="4"/>
        <v>0</v>
      </c>
      <c r="Y30" s="67">
        <f t="shared" si="5"/>
        <v>0</v>
      </c>
      <c r="Z30" s="67">
        <f t="shared" si="6"/>
        <v>0</v>
      </c>
      <c r="AA30" s="67">
        <f t="shared" si="7"/>
        <v>0</v>
      </c>
      <c r="AB30" s="67"/>
      <c r="AC30" s="67"/>
    </row>
    <row r="31" spans="1:36" s="66" customFormat="1" ht="20.100000000000001" customHeight="1" x14ac:dyDescent="0.25">
      <c r="B31" s="66">
        <f t="shared" si="22"/>
        <v>3</v>
      </c>
      <c r="C31" s="66">
        <f t="shared" si="8"/>
        <v>3</v>
      </c>
      <c r="D31" s="67">
        <f t="shared" si="9"/>
        <v>390000</v>
      </c>
      <c r="E31" s="67">
        <f t="shared" si="10"/>
        <v>75000</v>
      </c>
      <c r="F31" s="67">
        <f t="shared" si="0"/>
        <v>3900</v>
      </c>
      <c r="G31" s="67">
        <f t="shared" si="1"/>
        <v>2925</v>
      </c>
      <c r="H31" s="67">
        <f t="shared" si="11"/>
        <v>1500</v>
      </c>
      <c r="I31" s="67">
        <f t="shared" si="12"/>
        <v>1125</v>
      </c>
      <c r="J31" s="67">
        <f t="shared" si="13"/>
        <v>0</v>
      </c>
      <c r="K31" s="67">
        <f t="shared" si="14"/>
        <v>5000</v>
      </c>
      <c r="L31" s="67">
        <f t="shared" si="15"/>
        <v>0</v>
      </c>
      <c r="M31" s="67">
        <f t="shared" si="16"/>
        <v>0</v>
      </c>
      <c r="N31" s="67">
        <f t="shared" si="2"/>
        <v>0</v>
      </c>
      <c r="O31" s="67">
        <f t="shared" si="17"/>
        <v>5000</v>
      </c>
      <c r="P31" s="67">
        <f t="shared" si="23"/>
        <v>390000</v>
      </c>
      <c r="Q31" s="67">
        <f t="shared" si="24"/>
        <v>70000</v>
      </c>
      <c r="R31" s="67">
        <f t="shared" si="18"/>
        <v>390000</v>
      </c>
      <c r="S31" s="67">
        <f t="shared" si="19"/>
        <v>70000</v>
      </c>
      <c r="T31" s="67"/>
      <c r="U31" s="67">
        <f t="shared" si="20"/>
        <v>5000</v>
      </c>
      <c r="V31" s="67" t="b">
        <f t="shared" si="21"/>
        <v>0</v>
      </c>
      <c r="W31" s="67" t="b">
        <f t="shared" si="3"/>
        <v>0</v>
      </c>
      <c r="X31" s="67">
        <f t="shared" si="4"/>
        <v>0</v>
      </c>
      <c r="Y31" s="67">
        <f t="shared" si="5"/>
        <v>0</v>
      </c>
      <c r="Z31" s="67">
        <f t="shared" si="6"/>
        <v>0</v>
      </c>
      <c r="AA31" s="67">
        <f t="shared" si="7"/>
        <v>0</v>
      </c>
      <c r="AB31" s="67"/>
      <c r="AC31" s="67"/>
    </row>
    <row r="32" spans="1:36" s="66" customFormat="1" ht="20.100000000000001" customHeight="1" x14ac:dyDescent="0.25">
      <c r="B32" s="66">
        <f t="shared" si="22"/>
        <v>4</v>
      </c>
      <c r="C32" s="66">
        <f t="shared" si="8"/>
        <v>4</v>
      </c>
      <c r="D32" s="67">
        <f t="shared" si="9"/>
        <v>390000</v>
      </c>
      <c r="E32" s="67">
        <f t="shared" si="10"/>
        <v>70000</v>
      </c>
      <c r="F32" s="67">
        <f t="shared" si="0"/>
        <v>3900</v>
      </c>
      <c r="G32" s="67">
        <f t="shared" si="1"/>
        <v>2925</v>
      </c>
      <c r="H32" s="67">
        <f t="shared" si="11"/>
        <v>1400</v>
      </c>
      <c r="I32" s="67">
        <f t="shared" si="12"/>
        <v>1050</v>
      </c>
      <c r="J32" s="67">
        <f t="shared" si="13"/>
        <v>0</v>
      </c>
      <c r="K32" s="67">
        <f t="shared" si="14"/>
        <v>5000</v>
      </c>
      <c r="L32" s="67">
        <f t="shared" si="15"/>
        <v>0</v>
      </c>
      <c r="M32" s="67">
        <f t="shared" si="16"/>
        <v>0</v>
      </c>
      <c r="N32" s="67">
        <f t="shared" si="2"/>
        <v>0</v>
      </c>
      <c r="O32" s="67">
        <f t="shared" si="17"/>
        <v>5000</v>
      </c>
      <c r="P32" s="67">
        <f t="shared" si="23"/>
        <v>390000</v>
      </c>
      <c r="Q32" s="67">
        <f t="shared" si="24"/>
        <v>65000</v>
      </c>
      <c r="R32" s="67">
        <f t="shared" si="18"/>
        <v>390000</v>
      </c>
      <c r="S32" s="67">
        <f t="shared" si="19"/>
        <v>65000</v>
      </c>
      <c r="T32" s="67"/>
      <c r="U32" s="67">
        <f t="shared" si="20"/>
        <v>5000</v>
      </c>
      <c r="V32" s="67" t="b">
        <f t="shared" si="21"/>
        <v>0</v>
      </c>
      <c r="W32" s="67" t="b">
        <f t="shared" si="3"/>
        <v>0</v>
      </c>
      <c r="X32" s="67">
        <f t="shared" si="4"/>
        <v>0</v>
      </c>
      <c r="Y32" s="67">
        <f t="shared" si="5"/>
        <v>0</v>
      </c>
      <c r="Z32" s="67">
        <f t="shared" si="6"/>
        <v>0</v>
      </c>
      <c r="AA32" s="67">
        <f t="shared" si="7"/>
        <v>0</v>
      </c>
      <c r="AB32" s="67"/>
      <c r="AC32" s="67"/>
    </row>
    <row r="33" spans="2:29" s="66" customFormat="1" ht="20.100000000000001" customHeight="1" x14ac:dyDescent="0.25">
      <c r="B33" s="66">
        <f t="shared" si="22"/>
        <v>5</v>
      </c>
      <c r="C33" s="66">
        <f t="shared" si="8"/>
        <v>5</v>
      </c>
      <c r="D33" s="67">
        <f t="shared" si="9"/>
        <v>390000</v>
      </c>
      <c r="E33" s="67">
        <f t="shared" si="10"/>
        <v>65000</v>
      </c>
      <c r="F33" s="67">
        <f t="shared" si="0"/>
        <v>3900</v>
      </c>
      <c r="G33" s="67">
        <f t="shared" si="1"/>
        <v>2925</v>
      </c>
      <c r="H33" s="67">
        <f t="shared" si="11"/>
        <v>1300</v>
      </c>
      <c r="I33" s="67">
        <f t="shared" si="12"/>
        <v>975</v>
      </c>
      <c r="J33" s="67">
        <f t="shared" si="13"/>
        <v>0</v>
      </c>
      <c r="K33" s="67">
        <f t="shared" si="14"/>
        <v>5000</v>
      </c>
      <c r="L33" s="67">
        <f t="shared" si="15"/>
        <v>0</v>
      </c>
      <c r="M33" s="67">
        <f t="shared" si="16"/>
        <v>0</v>
      </c>
      <c r="N33" s="67">
        <f t="shared" si="2"/>
        <v>0</v>
      </c>
      <c r="O33" s="67">
        <f t="shared" si="17"/>
        <v>5000</v>
      </c>
      <c r="P33" s="67">
        <f t="shared" si="23"/>
        <v>390000</v>
      </c>
      <c r="Q33" s="67">
        <f t="shared" si="24"/>
        <v>60000</v>
      </c>
      <c r="R33" s="67">
        <f t="shared" si="18"/>
        <v>390000</v>
      </c>
      <c r="S33" s="67">
        <f t="shared" si="19"/>
        <v>60000</v>
      </c>
      <c r="T33" s="67"/>
      <c r="U33" s="67">
        <f t="shared" si="20"/>
        <v>5000</v>
      </c>
      <c r="V33" s="67" t="b">
        <f t="shared" si="21"/>
        <v>0</v>
      </c>
      <c r="W33" s="67" t="b">
        <f t="shared" si="3"/>
        <v>0</v>
      </c>
      <c r="X33" s="67">
        <f t="shared" si="4"/>
        <v>0</v>
      </c>
      <c r="Y33" s="67">
        <f t="shared" si="5"/>
        <v>0</v>
      </c>
      <c r="Z33" s="67">
        <f t="shared" si="6"/>
        <v>0</v>
      </c>
      <c r="AA33" s="67">
        <f t="shared" si="7"/>
        <v>0</v>
      </c>
      <c r="AB33" s="67"/>
      <c r="AC33" s="67"/>
    </row>
    <row r="34" spans="2:29" s="66" customFormat="1" ht="20.100000000000001" customHeight="1" x14ac:dyDescent="0.25">
      <c r="B34" s="66">
        <f t="shared" si="22"/>
        <v>6</v>
      </c>
      <c r="C34" s="66">
        <f t="shared" si="8"/>
        <v>6</v>
      </c>
      <c r="D34" s="67">
        <f t="shared" si="9"/>
        <v>390000</v>
      </c>
      <c r="E34" s="67">
        <f t="shared" si="10"/>
        <v>60000</v>
      </c>
      <c r="F34" s="67">
        <f t="shared" si="0"/>
        <v>3900</v>
      </c>
      <c r="G34" s="67">
        <f t="shared" si="1"/>
        <v>2925</v>
      </c>
      <c r="H34" s="67">
        <f t="shared" ref="H34:H78" si="25">+E34*$F$11</f>
        <v>1200</v>
      </c>
      <c r="I34" s="67">
        <f t="shared" si="12"/>
        <v>900</v>
      </c>
      <c r="J34" s="67">
        <f t="shared" si="13"/>
        <v>0</v>
      </c>
      <c r="K34" s="67">
        <f t="shared" si="14"/>
        <v>5000</v>
      </c>
      <c r="L34" s="67">
        <f t="shared" si="15"/>
        <v>0</v>
      </c>
      <c r="M34" s="67">
        <f t="shared" si="16"/>
        <v>0</v>
      </c>
      <c r="N34" s="67">
        <f t="shared" si="2"/>
        <v>0</v>
      </c>
      <c r="O34" s="67">
        <f t="shared" si="17"/>
        <v>5000</v>
      </c>
      <c r="P34" s="67">
        <f t="shared" si="23"/>
        <v>390000</v>
      </c>
      <c r="Q34" s="67">
        <f t="shared" si="24"/>
        <v>55000</v>
      </c>
      <c r="R34" s="67">
        <f t="shared" si="18"/>
        <v>390000</v>
      </c>
      <c r="S34" s="67">
        <f t="shared" si="19"/>
        <v>55000</v>
      </c>
      <c r="T34" s="67"/>
      <c r="U34" s="67">
        <f t="shared" si="20"/>
        <v>5000</v>
      </c>
      <c r="V34" s="67" t="b">
        <f t="shared" si="21"/>
        <v>0</v>
      </c>
      <c r="W34" s="67" t="b">
        <f t="shared" si="3"/>
        <v>0</v>
      </c>
      <c r="X34" s="67">
        <f t="shared" si="4"/>
        <v>0</v>
      </c>
      <c r="Y34" s="67">
        <f t="shared" si="5"/>
        <v>0</v>
      </c>
      <c r="Z34" s="67">
        <f t="shared" si="6"/>
        <v>0</v>
      </c>
      <c r="AA34" s="67">
        <f t="shared" si="7"/>
        <v>0</v>
      </c>
      <c r="AB34" s="67"/>
      <c r="AC34" s="67"/>
    </row>
    <row r="35" spans="2:29" s="66" customFormat="1" ht="20.100000000000001" customHeight="1" x14ac:dyDescent="0.25">
      <c r="B35" s="66">
        <f t="shared" si="22"/>
        <v>7</v>
      </c>
      <c r="C35" s="66">
        <f t="shared" si="8"/>
        <v>7</v>
      </c>
      <c r="D35" s="67">
        <f t="shared" si="9"/>
        <v>390000</v>
      </c>
      <c r="E35" s="67">
        <f t="shared" si="10"/>
        <v>55000</v>
      </c>
      <c r="F35" s="67">
        <f t="shared" si="0"/>
        <v>3900</v>
      </c>
      <c r="G35" s="67">
        <f t="shared" si="1"/>
        <v>2925</v>
      </c>
      <c r="H35" s="67">
        <f t="shared" si="25"/>
        <v>1100</v>
      </c>
      <c r="I35" s="67">
        <f t="shared" si="12"/>
        <v>825</v>
      </c>
      <c r="J35" s="67">
        <f t="shared" si="13"/>
        <v>0</v>
      </c>
      <c r="K35" s="67">
        <f t="shared" si="14"/>
        <v>5000</v>
      </c>
      <c r="L35" s="67">
        <f t="shared" si="15"/>
        <v>0</v>
      </c>
      <c r="M35" s="67">
        <f t="shared" si="16"/>
        <v>0</v>
      </c>
      <c r="N35" s="67">
        <f t="shared" si="2"/>
        <v>0</v>
      </c>
      <c r="O35" s="67">
        <f t="shared" si="17"/>
        <v>5000</v>
      </c>
      <c r="P35" s="67">
        <f t="shared" si="23"/>
        <v>390000</v>
      </c>
      <c r="Q35" s="67">
        <f t="shared" si="24"/>
        <v>50000</v>
      </c>
      <c r="R35" s="67">
        <f t="shared" si="18"/>
        <v>390000</v>
      </c>
      <c r="S35" s="67">
        <f t="shared" si="19"/>
        <v>50000</v>
      </c>
      <c r="T35" s="67"/>
      <c r="U35" s="67">
        <f t="shared" si="20"/>
        <v>5000</v>
      </c>
      <c r="V35" s="67" t="b">
        <f t="shared" si="21"/>
        <v>0</v>
      </c>
      <c r="W35" s="67" t="b">
        <f t="shared" si="3"/>
        <v>0</v>
      </c>
      <c r="X35" s="67">
        <f t="shared" si="4"/>
        <v>0</v>
      </c>
      <c r="Y35" s="67">
        <f t="shared" si="5"/>
        <v>0</v>
      </c>
      <c r="Z35" s="67">
        <f t="shared" si="6"/>
        <v>0</v>
      </c>
      <c r="AA35" s="67">
        <f t="shared" si="7"/>
        <v>0</v>
      </c>
      <c r="AB35" s="67"/>
      <c r="AC35" s="67"/>
    </row>
    <row r="36" spans="2:29" s="66" customFormat="1" ht="20.100000000000001" customHeight="1" x14ac:dyDescent="0.25">
      <c r="B36" s="66">
        <f t="shared" si="22"/>
        <v>8</v>
      </c>
      <c r="C36" s="66">
        <f t="shared" si="8"/>
        <v>8</v>
      </c>
      <c r="D36" s="67">
        <f t="shared" si="9"/>
        <v>390000</v>
      </c>
      <c r="E36" s="67">
        <f t="shared" si="10"/>
        <v>50000</v>
      </c>
      <c r="F36" s="67">
        <f t="shared" si="0"/>
        <v>3900</v>
      </c>
      <c r="G36" s="67">
        <f t="shared" si="1"/>
        <v>2925</v>
      </c>
      <c r="H36" s="67">
        <f t="shared" si="25"/>
        <v>1000</v>
      </c>
      <c r="I36" s="67">
        <f t="shared" si="12"/>
        <v>750</v>
      </c>
      <c r="J36" s="67">
        <f t="shared" si="13"/>
        <v>0</v>
      </c>
      <c r="K36" s="67">
        <f t="shared" si="14"/>
        <v>5000</v>
      </c>
      <c r="L36" s="67">
        <f t="shared" si="15"/>
        <v>0</v>
      </c>
      <c r="M36" s="67">
        <f t="shared" si="16"/>
        <v>0</v>
      </c>
      <c r="N36" s="67">
        <f t="shared" si="2"/>
        <v>0</v>
      </c>
      <c r="O36" s="67">
        <f t="shared" si="17"/>
        <v>5000</v>
      </c>
      <c r="P36" s="67">
        <f t="shared" si="23"/>
        <v>390000</v>
      </c>
      <c r="Q36" s="67">
        <f t="shared" si="24"/>
        <v>45000</v>
      </c>
      <c r="R36" s="67">
        <f t="shared" si="18"/>
        <v>390000</v>
      </c>
      <c r="S36" s="67">
        <f t="shared" si="19"/>
        <v>45000</v>
      </c>
      <c r="T36" s="67"/>
      <c r="U36" s="67">
        <f t="shared" si="20"/>
        <v>5000</v>
      </c>
      <c r="V36" s="67" t="b">
        <f t="shared" si="21"/>
        <v>0</v>
      </c>
      <c r="W36" s="67" t="b">
        <f t="shared" si="3"/>
        <v>0</v>
      </c>
      <c r="X36" s="67">
        <f t="shared" si="4"/>
        <v>0</v>
      </c>
      <c r="Y36" s="67">
        <f t="shared" si="5"/>
        <v>0</v>
      </c>
      <c r="Z36" s="67">
        <f t="shared" si="6"/>
        <v>0</v>
      </c>
      <c r="AA36" s="67">
        <f t="shared" si="7"/>
        <v>0</v>
      </c>
      <c r="AB36" s="67"/>
      <c r="AC36" s="67"/>
    </row>
    <row r="37" spans="2:29" s="66" customFormat="1" ht="20.100000000000001" customHeight="1" x14ac:dyDescent="0.25">
      <c r="B37" s="66">
        <f t="shared" si="22"/>
        <v>9</v>
      </c>
      <c r="C37" s="66">
        <f t="shared" si="8"/>
        <v>9</v>
      </c>
      <c r="D37" s="67">
        <f t="shared" si="9"/>
        <v>390000</v>
      </c>
      <c r="E37" s="67">
        <f t="shared" si="10"/>
        <v>45000</v>
      </c>
      <c r="F37" s="67">
        <f t="shared" si="0"/>
        <v>3900</v>
      </c>
      <c r="G37" s="67">
        <f t="shared" si="1"/>
        <v>2925</v>
      </c>
      <c r="H37" s="67">
        <f t="shared" si="25"/>
        <v>900</v>
      </c>
      <c r="I37" s="67">
        <f t="shared" si="12"/>
        <v>675</v>
      </c>
      <c r="J37" s="67">
        <f t="shared" si="13"/>
        <v>0</v>
      </c>
      <c r="K37" s="67">
        <f t="shared" si="14"/>
        <v>5000</v>
      </c>
      <c r="L37" s="67">
        <f t="shared" si="15"/>
        <v>0</v>
      </c>
      <c r="M37" s="67">
        <f t="shared" si="16"/>
        <v>0</v>
      </c>
      <c r="N37" s="67">
        <f t="shared" si="2"/>
        <v>0</v>
      </c>
      <c r="O37" s="67">
        <f t="shared" si="17"/>
        <v>5000</v>
      </c>
      <c r="P37" s="67">
        <f t="shared" si="23"/>
        <v>390000</v>
      </c>
      <c r="Q37" s="67">
        <f t="shared" si="24"/>
        <v>40000</v>
      </c>
      <c r="R37" s="67">
        <f t="shared" si="18"/>
        <v>390000</v>
      </c>
      <c r="S37" s="67">
        <f t="shared" si="19"/>
        <v>40000</v>
      </c>
      <c r="T37" s="67"/>
      <c r="U37" s="67">
        <f t="shared" si="20"/>
        <v>5000</v>
      </c>
      <c r="V37" s="67" t="b">
        <f t="shared" si="21"/>
        <v>0</v>
      </c>
      <c r="W37" s="67" t="b">
        <f t="shared" si="3"/>
        <v>0</v>
      </c>
      <c r="X37" s="67">
        <f t="shared" si="4"/>
        <v>0</v>
      </c>
      <c r="Y37" s="67">
        <f t="shared" si="5"/>
        <v>0</v>
      </c>
      <c r="Z37" s="67">
        <f t="shared" si="6"/>
        <v>0</v>
      </c>
      <c r="AA37" s="67">
        <f t="shared" si="7"/>
        <v>0</v>
      </c>
      <c r="AB37" s="67"/>
      <c r="AC37" s="67"/>
    </row>
    <row r="38" spans="2:29" s="66" customFormat="1" ht="20.100000000000001" customHeight="1" x14ac:dyDescent="0.25">
      <c r="B38" s="66">
        <f t="shared" si="22"/>
        <v>10</v>
      </c>
      <c r="C38" s="66">
        <f t="shared" si="8"/>
        <v>10</v>
      </c>
      <c r="D38" s="67">
        <f t="shared" si="9"/>
        <v>390000</v>
      </c>
      <c r="E38" s="67">
        <f t="shared" si="10"/>
        <v>40000</v>
      </c>
      <c r="F38" s="67">
        <f t="shared" si="0"/>
        <v>3900</v>
      </c>
      <c r="G38" s="67">
        <f t="shared" si="1"/>
        <v>2925</v>
      </c>
      <c r="H38" s="67">
        <f t="shared" si="25"/>
        <v>800</v>
      </c>
      <c r="I38" s="67">
        <f t="shared" si="12"/>
        <v>600</v>
      </c>
      <c r="J38" s="67">
        <f t="shared" si="13"/>
        <v>0</v>
      </c>
      <c r="K38" s="67">
        <f t="shared" si="14"/>
        <v>5000</v>
      </c>
      <c r="L38" s="67">
        <f t="shared" si="15"/>
        <v>0</v>
      </c>
      <c r="M38" s="67">
        <f t="shared" si="16"/>
        <v>0</v>
      </c>
      <c r="N38" s="67">
        <f t="shared" si="2"/>
        <v>0</v>
      </c>
      <c r="O38" s="67">
        <f t="shared" si="17"/>
        <v>5000</v>
      </c>
      <c r="P38" s="67">
        <f t="shared" si="23"/>
        <v>390000</v>
      </c>
      <c r="Q38" s="67">
        <f t="shared" si="24"/>
        <v>35000</v>
      </c>
      <c r="R38" s="67">
        <f t="shared" si="18"/>
        <v>390000</v>
      </c>
      <c r="S38" s="67">
        <f t="shared" si="19"/>
        <v>35000</v>
      </c>
      <c r="T38" s="67"/>
      <c r="U38" s="67">
        <f t="shared" si="20"/>
        <v>5000</v>
      </c>
      <c r="V38" s="67" t="b">
        <f t="shared" si="21"/>
        <v>0</v>
      </c>
      <c r="W38" s="67" t="b">
        <f t="shared" si="3"/>
        <v>0</v>
      </c>
      <c r="X38" s="67">
        <f t="shared" si="4"/>
        <v>0</v>
      </c>
      <c r="Y38" s="67">
        <f t="shared" si="5"/>
        <v>0</v>
      </c>
      <c r="Z38" s="67">
        <f t="shared" si="6"/>
        <v>0</v>
      </c>
      <c r="AA38" s="67">
        <f t="shared" si="7"/>
        <v>0</v>
      </c>
      <c r="AB38" s="67"/>
      <c r="AC38" s="67"/>
    </row>
    <row r="39" spans="2:29" s="66" customFormat="1" ht="20.100000000000001" customHeight="1" x14ac:dyDescent="0.25">
      <c r="B39" s="66">
        <f t="shared" si="22"/>
        <v>11</v>
      </c>
      <c r="C39" s="66">
        <f t="shared" si="8"/>
        <v>11</v>
      </c>
      <c r="D39" s="67">
        <f t="shared" si="9"/>
        <v>390000</v>
      </c>
      <c r="E39" s="67">
        <f t="shared" si="10"/>
        <v>35000</v>
      </c>
      <c r="F39" s="67">
        <f t="shared" si="0"/>
        <v>3900</v>
      </c>
      <c r="G39" s="67">
        <f t="shared" si="1"/>
        <v>2925</v>
      </c>
      <c r="H39" s="67">
        <f t="shared" si="25"/>
        <v>700</v>
      </c>
      <c r="I39" s="67">
        <f t="shared" si="12"/>
        <v>525</v>
      </c>
      <c r="J39" s="67">
        <f t="shared" si="13"/>
        <v>0</v>
      </c>
      <c r="K39" s="67">
        <f t="shared" si="14"/>
        <v>5000</v>
      </c>
      <c r="L39" s="67">
        <f t="shared" si="15"/>
        <v>0</v>
      </c>
      <c r="M39" s="67">
        <f t="shared" si="16"/>
        <v>0</v>
      </c>
      <c r="N39" s="67">
        <f t="shared" si="2"/>
        <v>0</v>
      </c>
      <c r="O39" s="67">
        <f t="shared" si="17"/>
        <v>5000</v>
      </c>
      <c r="P39" s="67">
        <f t="shared" si="23"/>
        <v>390000</v>
      </c>
      <c r="Q39" s="67">
        <f t="shared" si="24"/>
        <v>30000</v>
      </c>
      <c r="R39" s="67">
        <f t="shared" si="18"/>
        <v>390000</v>
      </c>
      <c r="S39" s="67">
        <f t="shared" si="19"/>
        <v>30000</v>
      </c>
      <c r="T39" s="67"/>
      <c r="U39" s="67">
        <f t="shared" si="20"/>
        <v>5000</v>
      </c>
      <c r="V39" s="67" t="b">
        <f t="shared" si="21"/>
        <v>0</v>
      </c>
      <c r="W39" s="67" t="b">
        <f t="shared" si="3"/>
        <v>0</v>
      </c>
      <c r="X39" s="67">
        <f t="shared" si="4"/>
        <v>0</v>
      </c>
      <c r="Y39" s="67">
        <f t="shared" si="5"/>
        <v>0</v>
      </c>
      <c r="Z39" s="67">
        <f t="shared" si="6"/>
        <v>0</v>
      </c>
      <c r="AA39" s="67">
        <f t="shared" si="7"/>
        <v>0</v>
      </c>
      <c r="AB39" s="67"/>
      <c r="AC39" s="67"/>
    </row>
    <row r="40" spans="2:29" s="66" customFormat="1" ht="20.100000000000001" customHeight="1" x14ac:dyDescent="0.25">
      <c r="B40" s="66">
        <f t="shared" si="22"/>
        <v>12</v>
      </c>
      <c r="C40" s="66">
        <f t="shared" si="8"/>
        <v>12</v>
      </c>
      <c r="D40" s="67">
        <f t="shared" si="9"/>
        <v>390000</v>
      </c>
      <c r="E40" s="67">
        <f t="shared" si="10"/>
        <v>30000</v>
      </c>
      <c r="F40" s="67">
        <f t="shared" si="0"/>
        <v>3900</v>
      </c>
      <c r="G40" s="67">
        <f t="shared" si="1"/>
        <v>2925</v>
      </c>
      <c r="H40" s="67">
        <f t="shared" si="25"/>
        <v>600</v>
      </c>
      <c r="I40" s="67">
        <f t="shared" si="12"/>
        <v>450</v>
      </c>
      <c r="J40" s="67">
        <f t="shared" si="13"/>
        <v>0</v>
      </c>
      <c r="K40" s="67">
        <f t="shared" si="14"/>
        <v>5000</v>
      </c>
      <c r="L40" s="67">
        <f t="shared" si="15"/>
        <v>0</v>
      </c>
      <c r="M40" s="67">
        <f t="shared" si="16"/>
        <v>0</v>
      </c>
      <c r="N40" s="67">
        <f t="shared" si="2"/>
        <v>0</v>
      </c>
      <c r="O40" s="67">
        <f t="shared" si="17"/>
        <v>5000</v>
      </c>
      <c r="P40" s="67">
        <f t="shared" si="23"/>
        <v>390000</v>
      </c>
      <c r="Q40" s="67">
        <f t="shared" si="24"/>
        <v>25000</v>
      </c>
      <c r="R40" s="67">
        <f t="shared" si="18"/>
        <v>390000</v>
      </c>
      <c r="S40" s="67">
        <f t="shared" si="19"/>
        <v>25000</v>
      </c>
      <c r="T40" s="67"/>
      <c r="U40" s="67">
        <f t="shared" si="20"/>
        <v>5000</v>
      </c>
      <c r="V40" s="67" t="b">
        <f t="shared" si="21"/>
        <v>0</v>
      </c>
      <c r="W40" s="67" t="b">
        <f t="shared" si="3"/>
        <v>0</v>
      </c>
      <c r="X40" s="67">
        <f t="shared" si="4"/>
        <v>0</v>
      </c>
      <c r="Y40" s="67">
        <f t="shared" si="5"/>
        <v>0</v>
      </c>
      <c r="Z40" s="67">
        <f t="shared" si="6"/>
        <v>0</v>
      </c>
      <c r="AA40" s="67">
        <f t="shared" si="7"/>
        <v>0</v>
      </c>
      <c r="AB40" s="67"/>
      <c r="AC40" s="67"/>
    </row>
    <row r="41" spans="2:29" s="66" customFormat="1" ht="20.100000000000001" customHeight="1" x14ac:dyDescent="0.25">
      <c r="B41" s="66">
        <f t="shared" si="22"/>
        <v>13</v>
      </c>
      <c r="C41" s="66">
        <f t="shared" si="8"/>
        <v>13</v>
      </c>
      <c r="D41" s="67">
        <f t="shared" si="9"/>
        <v>390000</v>
      </c>
      <c r="E41" s="67">
        <f t="shared" si="10"/>
        <v>25000</v>
      </c>
      <c r="F41" s="67">
        <f t="shared" si="0"/>
        <v>3900</v>
      </c>
      <c r="G41" s="67">
        <f t="shared" si="1"/>
        <v>2925</v>
      </c>
      <c r="H41" s="67">
        <f t="shared" si="25"/>
        <v>500</v>
      </c>
      <c r="I41" s="67">
        <f t="shared" si="12"/>
        <v>375</v>
      </c>
      <c r="J41" s="67">
        <f t="shared" si="13"/>
        <v>0</v>
      </c>
      <c r="K41" s="67">
        <f t="shared" si="14"/>
        <v>5000</v>
      </c>
      <c r="L41" s="67">
        <f t="shared" si="15"/>
        <v>0</v>
      </c>
      <c r="M41" s="67">
        <f t="shared" si="16"/>
        <v>0</v>
      </c>
      <c r="N41" s="67">
        <f t="shared" si="2"/>
        <v>0</v>
      </c>
      <c r="O41" s="67">
        <f t="shared" si="17"/>
        <v>5000</v>
      </c>
      <c r="P41" s="67">
        <f t="shared" si="23"/>
        <v>390000</v>
      </c>
      <c r="Q41" s="67">
        <f t="shared" si="24"/>
        <v>20000</v>
      </c>
      <c r="R41" s="67">
        <f t="shared" si="18"/>
        <v>390000</v>
      </c>
      <c r="S41" s="67">
        <f t="shared" si="19"/>
        <v>20000</v>
      </c>
      <c r="T41" s="67"/>
      <c r="U41" s="67">
        <f t="shared" si="20"/>
        <v>5000</v>
      </c>
      <c r="V41" s="67" t="b">
        <f t="shared" si="21"/>
        <v>0</v>
      </c>
      <c r="W41" s="67" t="b">
        <f t="shared" si="3"/>
        <v>0</v>
      </c>
      <c r="X41" s="67">
        <f t="shared" si="4"/>
        <v>0</v>
      </c>
      <c r="Y41" s="67">
        <f t="shared" si="5"/>
        <v>0</v>
      </c>
      <c r="Z41" s="67">
        <f t="shared" si="6"/>
        <v>0</v>
      </c>
      <c r="AA41" s="67">
        <f t="shared" si="7"/>
        <v>0</v>
      </c>
      <c r="AB41" s="67"/>
      <c r="AC41" s="67"/>
    </row>
    <row r="42" spans="2:29" s="66" customFormat="1" ht="20.100000000000001" customHeight="1" x14ac:dyDescent="0.25">
      <c r="B42" s="66">
        <f t="shared" si="22"/>
        <v>14</v>
      </c>
      <c r="C42" s="66">
        <f t="shared" si="8"/>
        <v>14</v>
      </c>
      <c r="D42" s="67">
        <f t="shared" si="9"/>
        <v>390000</v>
      </c>
      <c r="E42" s="67">
        <f t="shared" si="10"/>
        <v>20000</v>
      </c>
      <c r="F42" s="67">
        <f t="shared" si="0"/>
        <v>3900</v>
      </c>
      <c r="G42" s="67">
        <f t="shared" si="1"/>
        <v>2925</v>
      </c>
      <c r="H42" s="67">
        <f t="shared" si="25"/>
        <v>400</v>
      </c>
      <c r="I42" s="67">
        <f t="shared" si="12"/>
        <v>300</v>
      </c>
      <c r="J42" s="67">
        <f t="shared" si="13"/>
        <v>0</v>
      </c>
      <c r="K42" s="67">
        <f t="shared" si="14"/>
        <v>5000</v>
      </c>
      <c r="L42" s="67">
        <f t="shared" si="15"/>
        <v>0</v>
      </c>
      <c r="M42" s="67">
        <f t="shared" si="16"/>
        <v>0</v>
      </c>
      <c r="N42" s="67">
        <f t="shared" si="2"/>
        <v>0</v>
      </c>
      <c r="O42" s="67">
        <f t="shared" si="17"/>
        <v>5000</v>
      </c>
      <c r="P42" s="67">
        <f t="shared" si="23"/>
        <v>390000</v>
      </c>
      <c r="Q42" s="67">
        <f t="shared" si="24"/>
        <v>15000</v>
      </c>
      <c r="R42" s="67">
        <f t="shared" si="18"/>
        <v>390000</v>
      </c>
      <c r="S42" s="67">
        <f t="shared" si="19"/>
        <v>15000</v>
      </c>
      <c r="T42" s="67"/>
      <c r="U42" s="67">
        <f t="shared" si="20"/>
        <v>5000</v>
      </c>
      <c r="V42" s="67" t="b">
        <f t="shared" si="21"/>
        <v>0</v>
      </c>
      <c r="W42" s="67" t="b">
        <f t="shared" si="3"/>
        <v>0</v>
      </c>
      <c r="X42" s="67">
        <f t="shared" si="4"/>
        <v>0</v>
      </c>
      <c r="Y42" s="67">
        <f t="shared" si="5"/>
        <v>0</v>
      </c>
      <c r="Z42" s="67">
        <f t="shared" si="6"/>
        <v>0</v>
      </c>
      <c r="AA42" s="67">
        <f t="shared" si="7"/>
        <v>0</v>
      </c>
      <c r="AB42" s="67"/>
      <c r="AC42" s="67"/>
    </row>
    <row r="43" spans="2:29" s="66" customFormat="1" ht="20.100000000000001" customHeight="1" x14ac:dyDescent="0.25">
      <c r="B43" s="66">
        <f t="shared" si="22"/>
        <v>15</v>
      </c>
      <c r="C43" s="66">
        <f t="shared" si="8"/>
        <v>15</v>
      </c>
      <c r="D43" s="67">
        <f t="shared" si="9"/>
        <v>390000</v>
      </c>
      <c r="E43" s="67">
        <f t="shared" si="10"/>
        <v>15000</v>
      </c>
      <c r="F43" s="67">
        <f t="shared" si="0"/>
        <v>3900</v>
      </c>
      <c r="G43" s="67">
        <f t="shared" si="1"/>
        <v>2925</v>
      </c>
      <c r="H43" s="67">
        <f t="shared" si="25"/>
        <v>300</v>
      </c>
      <c r="I43" s="67">
        <f t="shared" si="12"/>
        <v>225</v>
      </c>
      <c r="J43" s="67">
        <f t="shared" si="13"/>
        <v>0</v>
      </c>
      <c r="K43" s="67">
        <f t="shared" si="14"/>
        <v>5000</v>
      </c>
      <c r="L43" s="67">
        <f t="shared" si="15"/>
        <v>0</v>
      </c>
      <c r="M43" s="67">
        <f t="shared" si="16"/>
        <v>0</v>
      </c>
      <c r="N43" s="67">
        <f t="shared" si="2"/>
        <v>0</v>
      </c>
      <c r="O43" s="67">
        <f t="shared" si="17"/>
        <v>5000</v>
      </c>
      <c r="P43" s="67">
        <f t="shared" si="23"/>
        <v>390000</v>
      </c>
      <c r="Q43" s="67">
        <f t="shared" si="24"/>
        <v>10000</v>
      </c>
      <c r="R43" s="67">
        <f t="shared" si="18"/>
        <v>390000</v>
      </c>
      <c r="S43" s="67">
        <f t="shared" si="19"/>
        <v>10000</v>
      </c>
      <c r="T43" s="67"/>
      <c r="U43" s="67">
        <f t="shared" si="20"/>
        <v>5000</v>
      </c>
      <c r="V43" s="67" t="b">
        <f t="shared" si="21"/>
        <v>0</v>
      </c>
      <c r="W43" s="67" t="b">
        <f t="shared" si="3"/>
        <v>0</v>
      </c>
      <c r="X43" s="67">
        <f t="shared" si="4"/>
        <v>0</v>
      </c>
      <c r="Y43" s="67">
        <f t="shared" si="5"/>
        <v>0</v>
      </c>
      <c r="Z43" s="67">
        <f t="shared" si="6"/>
        <v>0</v>
      </c>
      <c r="AA43" s="67">
        <f t="shared" si="7"/>
        <v>0</v>
      </c>
      <c r="AB43" s="67"/>
      <c r="AC43" s="67"/>
    </row>
    <row r="44" spans="2:29" s="66" customFormat="1" ht="20.100000000000001" customHeight="1" x14ac:dyDescent="0.25">
      <c r="B44" s="66">
        <f t="shared" si="22"/>
        <v>16</v>
      </c>
      <c r="C44" s="66">
        <f t="shared" si="8"/>
        <v>16</v>
      </c>
      <c r="D44" s="67">
        <f t="shared" si="9"/>
        <v>390000</v>
      </c>
      <c r="E44" s="67">
        <f t="shared" si="10"/>
        <v>10000</v>
      </c>
      <c r="F44" s="67">
        <f t="shared" si="0"/>
        <v>3900</v>
      </c>
      <c r="G44" s="67">
        <f t="shared" si="1"/>
        <v>2925</v>
      </c>
      <c r="H44" s="67">
        <f t="shared" si="25"/>
        <v>200</v>
      </c>
      <c r="I44" s="67">
        <f t="shared" si="12"/>
        <v>150</v>
      </c>
      <c r="J44" s="67">
        <f t="shared" si="13"/>
        <v>0</v>
      </c>
      <c r="K44" s="67">
        <f t="shared" si="14"/>
        <v>5000</v>
      </c>
      <c r="L44" s="67">
        <f t="shared" si="15"/>
        <v>0</v>
      </c>
      <c r="M44" s="67">
        <f t="shared" si="16"/>
        <v>0</v>
      </c>
      <c r="N44" s="67">
        <f t="shared" si="2"/>
        <v>0</v>
      </c>
      <c r="O44" s="67">
        <f t="shared" si="17"/>
        <v>5000</v>
      </c>
      <c r="P44" s="67">
        <f t="shared" si="23"/>
        <v>390000</v>
      </c>
      <c r="Q44" s="67">
        <f t="shared" si="24"/>
        <v>5000</v>
      </c>
      <c r="R44" s="67">
        <f t="shared" si="18"/>
        <v>390000</v>
      </c>
      <c r="S44" s="67">
        <f t="shared" si="19"/>
        <v>5000</v>
      </c>
      <c r="T44" s="67"/>
      <c r="U44" s="67">
        <f t="shared" si="20"/>
        <v>5000</v>
      </c>
      <c r="V44" s="67" t="b">
        <f t="shared" si="21"/>
        <v>0</v>
      </c>
      <c r="W44" s="67" t="b">
        <f t="shared" si="3"/>
        <v>0</v>
      </c>
      <c r="X44" s="67">
        <f t="shared" si="4"/>
        <v>0</v>
      </c>
      <c r="Y44" s="67">
        <f t="shared" si="5"/>
        <v>0</v>
      </c>
      <c r="Z44" s="67">
        <f t="shared" si="6"/>
        <v>0</v>
      </c>
      <c r="AA44" s="67">
        <f t="shared" si="7"/>
        <v>0</v>
      </c>
      <c r="AB44" s="67"/>
      <c r="AC44" s="67"/>
    </row>
    <row r="45" spans="2:29" s="66" customFormat="1" ht="20.100000000000001" customHeight="1" x14ac:dyDescent="0.25">
      <c r="B45" s="66">
        <f t="shared" si="22"/>
        <v>17</v>
      </c>
      <c r="C45" s="66">
        <f t="shared" si="8"/>
        <v>17</v>
      </c>
      <c r="D45" s="67">
        <f t="shared" si="9"/>
        <v>390000</v>
      </c>
      <c r="E45" s="67">
        <f t="shared" si="10"/>
        <v>5000</v>
      </c>
      <c r="F45" s="67">
        <f t="shared" si="0"/>
        <v>3900</v>
      </c>
      <c r="G45" s="67">
        <f t="shared" si="1"/>
        <v>2925</v>
      </c>
      <c r="H45" s="67">
        <f t="shared" si="25"/>
        <v>100</v>
      </c>
      <c r="I45" s="67">
        <f t="shared" si="12"/>
        <v>75</v>
      </c>
      <c r="J45" s="67">
        <f t="shared" si="13"/>
        <v>0</v>
      </c>
      <c r="K45" s="67">
        <f t="shared" si="14"/>
        <v>5000</v>
      </c>
      <c r="L45" s="67">
        <f t="shared" si="15"/>
        <v>0</v>
      </c>
      <c r="M45" s="67">
        <f t="shared" si="16"/>
        <v>0</v>
      </c>
      <c r="N45" s="67">
        <f t="shared" si="2"/>
        <v>0</v>
      </c>
      <c r="O45" s="67">
        <f t="shared" si="17"/>
        <v>5000</v>
      </c>
      <c r="P45" s="67">
        <f t="shared" si="23"/>
        <v>390000</v>
      </c>
      <c r="Q45" s="67">
        <f t="shared" si="24"/>
        <v>0</v>
      </c>
      <c r="R45" s="67">
        <f t="shared" si="18"/>
        <v>390000</v>
      </c>
      <c r="S45" s="67">
        <f t="shared" si="19"/>
        <v>0</v>
      </c>
      <c r="T45" s="67"/>
      <c r="U45" s="67">
        <f t="shared" si="20"/>
        <v>5000</v>
      </c>
      <c r="V45" s="67" t="b">
        <f t="shared" si="21"/>
        <v>0</v>
      </c>
      <c r="W45" s="67" t="b">
        <f t="shared" si="3"/>
        <v>0</v>
      </c>
      <c r="X45" s="67">
        <f t="shared" si="4"/>
        <v>0</v>
      </c>
      <c r="Y45" s="67">
        <f t="shared" si="5"/>
        <v>0</v>
      </c>
      <c r="Z45" s="67">
        <f t="shared" si="6"/>
        <v>0</v>
      </c>
      <c r="AA45" s="67">
        <f t="shared" si="7"/>
        <v>0</v>
      </c>
      <c r="AB45" s="67"/>
      <c r="AC45" s="67"/>
    </row>
    <row r="46" spans="2:29" s="66" customFormat="1" ht="20.100000000000001" customHeight="1" x14ac:dyDescent="0.25">
      <c r="B46" s="66">
        <f t="shared" si="22"/>
        <v>18</v>
      </c>
      <c r="C46" s="66">
        <f t="shared" si="8"/>
        <v>18</v>
      </c>
      <c r="D46" s="67">
        <f t="shared" si="9"/>
        <v>390000</v>
      </c>
      <c r="E46" s="67">
        <f t="shared" si="10"/>
        <v>0</v>
      </c>
      <c r="F46" s="67">
        <f t="shared" si="0"/>
        <v>3900</v>
      </c>
      <c r="G46" s="67">
        <f t="shared" si="1"/>
        <v>2925</v>
      </c>
      <c r="H46" s="67">
        <f t="shared" si="25"/>
        <v>0</v>
      </c>
      <c r="I46" s="67">
        <f t="shared" si="12"/>
        <v>0</v>
      </c>
      <c r="J46" s="67">
        <f t="shared" si="13"/>
        <v>5000</v>
      </c>
      <c r="K46" s="67">
        <f t="shared" si="14"/>
        <v>0</v>
      </c>
      <c r="L46" s="67">
        <f t="shared" si="15"/>
        <v>0</v>
      </c>
      <c r="M46" s="67">
        <f t="shared" si="16"/>
        <v>0</v>
      </c>
      <c r="N46" s="67">
        <f t="shared" si="2"/>
        <v>5000</v>
      </c>
      <c r="O46" s="67">
        <f t="shared" si="17"/>
        <v>0</v>
      </c>
      <c r="P46" s="67">
        <f t="shared" si="23"/>
        <v>385000</v>
      </c>
      <c r="Q46" s="67">
        <f t="shared" si="24"/>
        <v>0</v>
      </c>
      <c r="R46" s="67">
        <f t="shared" si="18"/>
        <v>385000</v>
      </c>
      <c r="S46" s="67">
        <f t="shared" si="19"/>
        <v>0</v>
      </c>
      <c r="T46" s="67"/>
      <c r="U46" s="67">
        <f t="shared" si="20"/>
        <v>5000</v>
      </c>
      <c r="V46" s="67" t="b">
        <f t="shared" si="21"/>
        <v>0</v>
      </c>
      <c r="W46" s="67" t="b">
        <f t="shared" si="3"/>
        <v>0</v>
      </c>
      <c r="X46" s="67">
        <f t="shared" si="4"/>
        <v>0</v>
      </c>
      <c r="Y46" s="67">
        <f t="shared" si="5"/>
        <v>0</v>
      </c>
      <c r="Z46" s="67">
        <f t="shared" si="6"/>
        <v>0</v>
      </c>
      <c r="AA46" s="67">
        <f t="shared" si="7"/>
        <v>0</v>
      </c>
      <c r="AB46" s="67"/>
      <c r="AC46" s="67"/>
    </row>
    <row r="47" spans="2:29" s="66" customFormat="1" ht="20.100000000000001" customHeight="1" x14ac:dyDescent="0.25">
      <c r="B47" s="66">
        <f t="shared" si="22"/>
        <v>19</v>
      </c>
      <c r="C47" s="66">
        <f t="shared" si="8"/>
        <v>19</v>
      </c>
      <c r="D47" s="67">
        <f t="shared" si="9"/>
        <v>385000</v>
      </c>
      <c r="E47" s="67">
        <f t="shared" si="10"/>
        <v>0</v>
      </c>
      <c r="F47" s="67">
        <f t="shared" si="0"/>
        <v>3850</v>
      </c>
      <c r="G47" s="67">
        <f t="shared" si="1"/>
        <v>2887.5</v>
      </c>
      <c r="H47" s="67">
        <f t="shared" si="25"/>
        <v>0</v>
      </c>
      <c r="I47" s="67">
        <f t="shared" si="12"/>
        <v>0</v>
      </c>
      <c r="J47" s="67">
        <f t="shared" si="13"/>
        <v>5000</v>
      </c>
      <c r="K47" s="67">
        <f t="shared" si="14"/>
        <v>0</v>
      </c>
      <c r="L47" s="67">
        <f t="shared" si="15"/>
        <v>0</v>
      </c>
      <c r="M47" s="67">
        <f t="shared" si="16"/>
        <v>0</v>
      </c>
      <c r="N47" s="67">
        <f t="shared" si="2"/>
        <v>5000</v>
      </c>
      <c r="O47" s="67">
        <f t="shared" si="17"/>
        <v>0</v>
      </c>
      <c r="P47" s="67">
        <f t="shared" si="23"/>
        <v>380000</v>
      </c>
      <c r="Q47" s="67">
        <f t="shared" si="24"/>
        <v>0</v>
      </c>
      <c r="R47" s="67">
        <f t="shared" si="18"/>
        <v>380000</v>
      </c>
      <c r="S47" s="67">
        <f t="shared" si="19"/>
        <v>0</v>
      </c>
      <c r="T47" s="67"/>
      <c r="U47" s="67">
        <f t="shared" si="20"/>
        <v>5000</v>
      </c>
      <c r="V47" s="67" t="b">
        <f t="shared" si="21"/>
        <v>0</v>
      </c>
      <c r="W47" s="67" t="b">
        <f t="shared" si="3"/>
        <v>0</v>
      </c>
      <c r="X47" s="67">
        <f t="shared" si="4"/>
        <v>0</v>
      </c>
      <c r="Y47" s="67">
        <f t="shared" si="5"/>
        <v>0</v>
      </c>
      <c r="Z47" s="67">
        <f t="shared" si="6"/>
        <v>0</v>
      </c>
      <c r="AA47" s="67">
        <f t="shared" si="7"/>
        <v>0</v>
      </c>
      <c r="AB47" s="67"/>
      <c r="AC47" s="67"/>
    </row>
    <row r="48" spans="2:29" s="66" customFormat="1" ht="20.100000000000001" customHeight="1" x14ac:dyDescent="0.25">
      <c r="B48" s="66">
        <f t="shared" si="22"/>
        <v>20</v>
      </c>
      <c r="C48" s="66">
        <f t="shared" si="8"/>
        <v>20</v>
      </c>
      <c r="D48" s="67">
        <f t="shared" si="9"/>
        <v>380000</v>
      </c>
      <c r="E48" s="67">
        <f t="shared" si="10"/>
        <v>0</v>
      </c>
      <c r="F48" s="67">
        <f t="shared" si="0"/>
        <v>3800</v>
      </c>
      <c r="G48" s="67">
        <f t="shared" si="1"/>
        <v>2850</v>
      </c>
      <c r="H48" s="67">
        <f t="shared" si="25"/>
        <v>0</v>
      </c>
      <c r="I48" s="67">
        <f t="shared" si="12"/>
        <v>0</v>
      </c>
      <c r="J48" s="67">
        <f t="shared" si="13"/>
        <v>5000</v>
      </c>
      <c r="K48" s="67">
        <f t="shared" si="14"/>
        <v>0</v>
      </c>
      <c r="L48" s="67">
        <f t="shared" si="15"/>
        <v>0</v>
      </c>
      <c r="M48" s="67">
        <f t="shared" si="16"/>
        <v>0</v>
      </c>
      <c r="N48" s="67">
        <f t="shared" si="2"/>
        <v>5000</v>
      </c>
      <c r="O48" s="67">
        <f t="shared" si="17"/>
        <v>0</v>
      </c>
      <c r="P48" s="67">
        <f t="shared" si="23"/>
        <v>375000</v>
      </c>
      <c r="Q48" s="67">
        <f t="shared" si="24"/>
        <v>0</v>
      </c>
      <c r="R48" s="67">
        <f t="shared" si="18"/>
        <v>375000</v>
      </c>
      <c r="S48" s="67">
        <f t="shared" si="19"/>
        <v>0</v>
      </c>
      <c r="T48" s="67"/>
      <c r="U48" s="67">
        <f t="shared" si="20"/>
        <v>5000</v>
      </c>
      <c r="V48" s="67" t="b">
        <f t="shared" si="21"/>
        <v>0</v>
      </c>
      <c r="W48" s="67" t="b">
        <f t="shared" si="3"/>
        <v>0</v>
      </c>
      <c r="X48" s="67">
        <f t="shared" si="4"/>
        <v>0</v>
      </c>
      <c r="Y48" s="67">
        <f t="shared" si="5"/>
        <v>0</v>
      </c>
      <c r="Z48" s="67">
        <f t="shared" si="6"/>
        <v>0</v>
      </c>
      <c r="AA48" s="67">
        <f t="shared" si="7"/>
        <v>0</v>
      </c>
      <c r="AB48" s="67"/>
      <c r="AC48" s="67"/>
    </row>
    <row r="49" spans="2:29" s="66" customFormat="1" ht="20.100000000000001" customHeight="1" x14ac:dyDescent="0.25">
      <c r="B49" s="66">
        <f t="shared" si="22"/>
        <v>21</v>
      </c>
      <c r="C49" s="66">
        <f t="shared" si="8"/>
        <v>21</v>
      </c>
      <c r="D49" s="67">
        <f t="shared" si="9"/>
        <v>375000</v>
      </c>
      <c r="E49" s="67">
        <f t="shared" si="10"/>
        <v>0</v>
      </c>
      <c r="F49" s="67">
        <f t="shared" si="0"/>
        <v>3750</v>
      </c>
      <c r="G49" s="67">
        <f t="shared" si="1"/>
        <v>2812.5</v>
      </c>
      <c r="H49" s="67">
        <f t="shared" si="25"/>
        <v>0</v>
      </c>
      <c r="I49" s="67">
        <f t="shared" si="12"/>
        <v>0</v>
      </c>
      <c r="J49" s="67">
        <f t="shared" si="13"/>
        <v>5000</v>
      </c>
      <c r="K49" s="67">
        <f t="shared" si="14"/>
        <v>0</v>
      </c>
      <c r="L49" s="67">
        <f t="shared" si="15"/>
        <v>0</v>
      </c>
      <c r="M49" s="67">
        <f t="shared" si="16"/>
        <v>0</v>
      </c>
      <c r="N49" s="67">
        <f t="shared" si="2"/>
        <v>5000</v>
      </c>
      <c r="O49" s="67">
        <f t="shared" si="17"/>
        <v>0</v>
      </c>
      <c r="P49" s="67">
        <f t="shared" si="23"/>
        <v>370000</v>
      </c>
      <c r="Q49" s="67">
        <f t="shared" si="24"/>
        <v>0</v>
      </c>
      <c r="R49" s="67">
        <f t="shared" si="18"/>
        <v>370000</v>
      </c>
      <c r="S49" s="67">
        <f t="shared" si="19"/>
        <v>0</v>
      </c>
      <c r="T49" s="67"/>
      <c r="U49" s="67">
        <f t="shared" si="20"/>
        <v>5000</v>
      </c>
      <c r="V49" s="67" t="b">
        <f t="shared" si="21"/>
        <v>0</v>
      </c>
      <c r="W49" s="67" t="b">
        <f t="shared" si="3"/>
        <v>0</v>
      </c>
      <c r="X49" s="67">
        <f t="shared" si="4"/>
        <v>0</v>
      </c>
      <c r="Y49" s="67">
        <f t="shared" si="5"/>
        <v>0</v>
      </c>
      <c r="Z49" s="67">
        <f t="shared" si="6"/>
        <v>0</v>
      </c>
      <c r="AA49" s="67">
        <f t="shared" si="7"/>
        <v>0</v>
      </c>
      <c r="AB49" s="67"/>
      <c r="AC49" s="67"/>
    </row>
    <row r="50" spans="2:29" s="66" customFormat="1" ht="20.100000000000001" customHeight="1" x14ac:dyDescent="0.25">
      <c r="B50" s="66">
        <f t="shared" si="22"/>
        <v>22</v>
      </c>
      <c r="C50" s="66">
        <f t="shared" si="8"/>
        <v>22</v>
      </c>
      <c r="D50" s="67">
        <f t="shared" si="9"/>
        <v>370000</v>
      </c>
      <c r="E50" s="67">
        <f t="shared" si="10"/>
        <v>0</v>
      </c>
      <c r="F50" s="67">
        <f t="shared" si="0"/>
        <v>3700</v>
      </c>
      <c r="G50" s="67">
        <f t="shared" si="1"/>
        <v>2775</v>
      </c>
      <c r="H50" s="67">
        <f t="shared" si="25"/>
        <v>0</v>
      </c>
      <c r="I50" s="67">
        <f t="shared" si="12"/>
        <v>0</v>
      </c>
      <c r="J50" s="67">
        <f t="shared" si="13"/>
        <v>5000</v>
      </c>
      <c r="K50" s="67">
        <f t="shared" si="14"/>
        <v>0</v>
      </c>
      <c r="L50" s="67">
        <f t="shared" si="15"/>
        <v>0</v>
      </c>
      <c r="M50" s="67">
        <f t="shared" si="16"/>
        <v>0</v>
      </c>
      <c r="N50" s="67">
        <f t="shared" si="2"/>
        <v>5000</v>
      </c>
      <c r="O50" s="67">
        <f t="shared" si="17"/>
        <v>0</v>
      </c>
      <c r="P50" s="67">
        <f t="shared" si="23"/>
        <v>365000</v>
      </c>
      <c r="Q50" s="67">
        <f t="shared" si="24"/>
        <v>0</v>
      </c>
      <c r="R50" s="67">
        <f t="shared" si="18"/>
        <v>365000</v>
      </c>
      <c r="S50" s="67">
        <f t="shared" si="19"/>
        <v>0</v>
      </c>
      <c r="T50" s="67"/>
      <c r="U50" s="67">
        <f t="shared" si="20"/>
        <v>5000</v>
      </c>
      <c r="V50" s="67" t="b">
        <f t="shared" si="21"/>
        <v>0</v>
      </c>
      <c r="W50" s="67" t="b">
        <f t="shared" si="3"/>
        <v>0</v>
      </c>
      <c r="X50" s="67">
        <f t="shared" si="4"/>
        <v>0</v>
      </c>
      <c r="Y50" s="67">
        <f t="shared" si="5"/>
        <v>0</v>
      </c>
      <c r="Z50" s="67">
        <f t="shared" si="6"/>
        <v>0</v>
      </c>
      <c r="AA50" s="67">
        <f t="shared" si="7"/>
        <v>0</v>
      </c>
      <c r="AB50" s="67"/>
      <c r="AC50" s="67"/>
    </row>
    <row r="51" spans="2:29" s="66" customFormat="1" ht="20.100000000000001" customHeight="1" x14ac:dyDescent="0.25">
      <c r="B51" s="66">
        <f t="shared" si="22"/>
        <v>23</v>
      </c>
      <c r="C51" s="66">
        <f t="shared" si="8"/>
        <v>23</v>
      </c>
      <c r="D51" s="67">
        <f t="shared" si="9"/>
        <v>365000</v>
      </c>
      <c r="E51" s="67">
        <f t="shared" si="10"/>
        <v>0</v>
      </c>
      <c r="F51" s="67">
        <f t="shared" si="0"/>
        <v>3650</v>
      </c>
      <c r="G51" s="67">
        <f t="shared" si="1"/>
        <v>2737.5</v>
      </c>
      <c r="H51" s="67">
        <f t="shared" si="25"/>
        <v>0</v>
      </c>
      <c r="I51" s="67">
        <f t="shared" si="12"/>
        <v>0</v>
      </c>
      <c r="J51" s="67">
        <f t="shared" si="13"/>
        <v>5000</v>
      </c>
      <c r="K51" s="67">
        <f t="shared" si="14"/>
        <v>0</v>
      </c>
      <c r="L51" s="67">
        <f t="shared" si="15"/>
        <v>0</v>
      </c>
      <c r="M51" s="67">
        <f t="shared" si="16"/>
        <v>0</v>
      </c>
      <c r="N51" s="67">
        <f t="shared" si="2"/>
        <v>5000</v>
      </c>
      <c r="O51" s="67">
        <f t="shared" si="17"/>
        <v>0</v>
      </c>
      <c r="P51" s="67">
        <f t="shared" si="23"/>
        <v>360000</v>
      </c>
      <c r="Q51" s="67">
        <f t="shared" si="24"/>
        <v>0</v>
      </c>
      <c r="R51" s="67">
        <f t="shared" si="18"/>
        <v>360000</v>
      </c>
      <c r="S51" s="67">
        <f t="shared" si="19"/>
        <v>0</v>
      </c>
      <c r="T51" s="67"/>
      <c r="U51" s="67">
        <f t="shared" si="20"/>
        <v>5000</v>
      </c>
      <c r="V51" s="67" t="b">
        <f t="shared" si="21"/>
        <v>0</v>
      </c>
      <c r="W51" s="67" t="b">
        <f t="shared" si="3"/>
        <v>0</v>
      </c>
      <c r="X51" s="67">
        <f t="shared" si="4"/>
        <v>0</v>
      </c>
      <c r="Y51" s="67">
        <f t="shared" si="5"/>
        <v>0</v>
      </c>
      <c r="Z51" s="67">
        <f t="shared" si="6"/>
        <v>0</v>
      </c>
      <c r="AA51" s="67">
        <f t="shared" si="7"/>
        <v>0</v>
      </c>
      <c r="AB51" s="67"/>
      <c r="AC51" s="67"/>
    </row>
    <row r="52" spans="2:29" s="66" customFormat="1" ht="20.100000000000001" customHeight="1" x14ac:dyDescent="0.25">
      <c r="B52" s="66">
        <f t="shared" si="22"/>
        <v>24</v>
      </c>
      <c r="C52" s="66">
        <f t="shared" si="8"/>
        <v>24</v>
      </c>
      <c r="D52" s="67">
        <f t="shared" si="9"/>
        <v>360000</v>
      </c>
      <c r="E52" s="67">
        <f t="shared" si="10"/>
        <v>0</v>
      </c>
      <c r="F52" s="67">
        <f t="shared" si="0"/>
        <v>3600</v>
      </c>
      <c r="G52" s="67">
        <f t="shared" si="1"/>
        <v>2700</v>
      </c>
      <c r="H52" s="67">
        <f t="shared" si="25"/>
        <v>0</v>
      </c>
      <c r="I52" s="67">
        <f t="shared" si="12"/>
        <v>0</v>
      </c>
      <c r="J52" s="67">
        <f t="shared" si="13"/>
        <v>5000</v>
      </c>
      <c r="K52" s="67">
        <f t="shared" si="14"/>
        <v>0</v>
      </c>
      <c r="L52" s="67">
        <f t="shared" si="15"/>
        <v>0</v>
      </c>
      <c r="M52" s="67">
        <f t="shared" si="16"/>
        <v>0</v>
      </c>
      <c r="N52" s="67">
        <f t="shared" si="2"/>
        <v>5000</v>
      </c>
      <c r="O52" s="67">
        <f t="shared" si="17"/>
        <v>0</v>
      </c>
      <c r="P52" s="67">
        <f t="shared" si="23"/>
        <v>355000</v>
      </c>
      <c r="Q52" s="67">
        <f t="shared" si="24"/>
        <v>0</v>
      </c>
      <c r="R52" s="67">
        <f t="shared" si="18"/>
        <v>355000</v>
      </c>
      <c r="S52" s="67">
        <f t="shared" si="19"/>
        <v>0</v>
      </c>
      <c r="T52" s="67"/>
      <c r="U52" s="67">
        <f t="shared" si="20"/>
        <v>5000</v>
      </c>
      <c r="V52" s="67" t="b">
        <f t="shared" si="21"/>
        <v>0</v>
      </c>
      <c r="W52" s="67" t="b">
        <f t="shared" si="3"/>
        <v>0</v>
      </c>
      <c r="X52" s="67">
        <f>IF(V52=FALSE,0,W52-Y52)</f>
        <v>0</v>
      </c>
      <c r="Y52" s="67">
        <f>IF(V52=FALSE,0,IF(W52&gt;AA52,AA52,W52))</f>
        <v>0</v>
      </c>
      <c r="Z52" s="67">
        <f>IF(V52=TRUE,R52,0)</f>
        <v>0</v>
      </c>
      <c r="AA52" s="67">
        <f>IF(V52=TRUE,S52,0)</f>
        <v>0</v>
      </c>
      <c r="AB52" s="67"/>
      <c r="AC52" s="67"/>
    </row>
    <row r="53" spans="2:29" s="66" customFormat="1" ht="20.100000000000001" customHeight="1" x14ac:dyDescent="0.25">
      <c r="B53" s="66">
        <f t="shared" si="22"/>
        <v>25</v>
      </c>
      <c r="C53" s="66">
        <f t="shared" si="8"/>
        <v>25</v>
      </c>
      <c r="D53" s="67">
        <f t="shared" si="9"/>
        <v>355000</v>
      </c>
      <c r="E53" s="67">
        <f t="shared" si="10"/>
        <v>0</v>
      </c>
      <c r="F53" s="67">
        <f t="shared" si="0"/>
        <v>3550</v>
      </c>
      <c r="G53" s="67">
        <f t="shared" si="1"/>
        <v>2662.5</v>
      </c>
      <c r="H53" s="67">
        <f t="shared" si="25"/>
        <v>0</v>
      </c>
      <c r="I53" s="67">
        <f t="shared" si="12"/>
        <v>0</v>
      </c>
      <c r="J53" s="67">
        <f t="shared" si="13"/>
        <v>5000</v>
      </c>
      <c r="K53" s="67">
        <f t="shared" si="14"/>
        <v>0</v>
      </c>
      <c r="L53" s="67">
        <f t="shared" si="15"/>
        <v>0</v>
      </c>
      <c r="M53" s="67">
        <f t="shared" si="16"/>
        <v>0</v>
      </c>
      <c r="N53" s="67">
        <f t="shared" si="2"/>
        <v>5000</v>
      </c>
      <c r="O53" s="67">
        <f t="shared" si="17"/>
        <v>0</v>
      </c>
      <c r="P53" s="67">
        <f t="shared" si="23"/>
        <v>350000</v>
      </c>
      <c r="Q53" s="67">
        <f t="shared" si="24"/>
        <v>0</v>
      </c>
      <c r="R53" s="67">
        <f t="shared" si="18"/>
        <v>350000</v>
      </c>
      <c r="S53" s="67">
        <f t="shared" si="19"/>
        <v>0</v>
      </c>
      <c r="T53" s="67"/>
      <c r="U53" s="67">
        <f t="shared" si="20"/>
        <v>5000</v>
      </c>
      <c r="V53" s="67" t="b">
        <f t="shared" si="21"/>
        <v>0</v>
      </c>
      <c r="W53" s="67" t="b">
        <f t="shared" si="3"/>
        <v>0</v>
      </c>
      <c r="X53" s="67">
        <f t="shared" ref="X53:X78" si="26">IF(V53=FALSE,0,W53-Y53)</f>
        <v>0</v>
      </c>
      <c r="Y53" s="67">
        <f t="shared" ref="Y53:Y78" si="27">IF(V53=FALSE,0,IF(W53&gt;AA53,AA53,W53))</f>
        <v>0</v>
      </c>
      <c r="Z53" s="67">
        <f t="shared" ref="Z53:Z78" si="28">IF(V53=TRUE,R53,0)</f>
        <v>0</v>
      </c>
      <c r="AA53" s="67">
        <f t="shared" ref="AA53:AA78" si="29">IF(V53=TRUE,S53,0)</f>
        <v>0</v>
      </c>
      <c r="AB53" s="67"/>
      <c r="AC53" s="67"/>
    </row>
    <row r="54" spans="2:29" s="66" customFormat="1" ht="20.100000000000001" customHeight="1" x14ac:dyDescent="0.25">
      <c r="B54" s="66">
        <f t="shared" si="22"/>
        <v>26</v>
      </c>
      <c r="C54" s="66">
        <f t="shared" si="8"/>
        <v>26</v>
      </c>
      <c r="D54" s="67">
        <f t="shared" si="9"/>
        <v>350000</v>
      </c>
      <c r="E54" s="67">
        <f t="shared" si="10"/>
        <v>0</v>
      </c>
      <c r="F54" s="67">
        <f t="shared" si="0"/>
        <v>3500</v>
      </c>
      <c r="G54" s="67">
        <f t="shared" si="1"/>
        <v>2625</v>
      </c>
      <c r="H54" s="67">
        <f t="shared" si="25"/>
        <v>0</v>
      </c>
      <c r="I54" s="67">
        <f t="shared" si="12"/>
        <v>0</v>
      </c>
      <c r="J54" s="67">
        <f t="shared" si="13"/>
        <v>5000</v>
      </c>
      <c r="K54" s="67">
        <f t="shared" si="14"/>
        <v>0</v>
      </c>
      <c r="L54" s="67">
        <f t="shared" si="15"/>
        <v>0</v>
      </c>
      <c r="M54" s="67">
        <f t="shared" si="16"/>
        <v>0</v>
      </c>
      <c r="N54" s="67">
        <f t="shared" si="2"/>
        <v>5000</v>
      </c>
      <c r="O54" s="67">
        <f t="shared" si="17"/>
        <v>0</v>
      </c>
      <c r="P54" s="67">
        <f t="shared" si="23"/>
        <v>345000</v>
      </c>
      <c r="Q54" s="67">
        <f t="shared" si="24"/>
        <v>0</v>
      </c>
      <c r="R54" s="67">
        <f t="shared" si="18"/>
        <v>345000</v>
      </c>
      <c r="S54" s="67">
        <f t="shared" si="19"/>
        <v>0</v>
      </c>
      <c r="T54" s="67"/>
      <c r="U54" s="67">
        <f t="shared" si="20"/>
        <v>5000</v>
      </c>
      <c r="V54" s="67" t="b">
        <f t="shared" si="21"/>
        <v>0</v>
      </c>
      <c r="W54" s="67" t="b">
        <f t="shared" si="3"/>
        <v>0</v>
      </c>
      <c r="X54" s="67">
        <f t="shared" si="26"/>
        <v>0</v>
      </c>
      <c r="Y54" s="67">
        <f t="shared" si="27"/>
        <v>0</v>
      </c>
      <c r="Z54" s="67">
        <f t="shared" si="28"/>
        <v>0</v>
      </c>
      <c r="AA54" s="67">
        <f t="shared" si="29"/>
        <v>0</v>
      </c>
      <c r="AB54" s="67"/>
      <c r="AC54" s="67"/>
    </row>
    <row r="55" spans="2:29" s="66" customFormat="1" ht="20.100000000000001" customHeight="1" x14ac:dyDescent="0.25">
      <c r="B55" s="66">
        <f t="shared" si="22"/>
        <v>27</v>
      </c>
      <c r="C55" s="66">
        <f t="shared" si="8"/>
        <v>27</v>
      </c>
      <c r="D55" s="67">
        <f t="shared" si="9"/>
        <v>345000</v>
      </c>
      <c r="E55" s="67">
        <f t="shared" si="10"/>
        <v>0</v>
      </c>
      <c r="F55" s="67">
        <f t="shared" si="0"/>
        <v>3450</v>
      </c>
      <c r="G55" s="67">
        <f t="shared" si="1"/>
        <v>2587.5</v>
      </c>
      <c r="H55" s="67">
        <f t="shared" si="25"/>
        <v>0</v>
      </c>
      <c r="I55" s="67">
        <f t="shared" si="12"/>
        <v>0</v>
      </c>
      <c r="J55" s="67">
        <f t="shared" si="13"/>
        <v>5000</v>
      </c>
      <c r="K55" s="67">
        <f t="shared" si="14"/>
        <v>0</v>
      </c>
      <c r="L55" s="67">
        <f t="shared" si="15"/>
        <v>0</v>
      </c>
      <c r="M55" s="67">
        <f t="shared" si="16"/>
        <v>0</v>
      </c>
      <c r="N55" s="67">
        <f t="shared" si="2"/>
        <v>5000</v>
      </c>
      <c r="O55" s="67">
        <f t="shared" si="17"/>
        <v>0</v>
      </c>
      <c r="P55" s="67">
        <f t="shared" si="23"/>
        <v>340000</v>
      </c>
      <c r="Q55" s="67">
        <f t="shared" si="24"/>
        <v>0</v>
      </c>
      <c r="R55" s="67">
        <f t="shared" si="18"/>
        <v>340000</v>
      </c>
      <c r="S55" s="67">
        <f t="shared" si="19"/>
        <v>0</v>
      </c>
      <c r="T55" s="67"/>
      <c r="U55" s="67">
        <f t="shared" si="20"/>
        <v>5000</v>
      </c>
      <c r="V55" s="67" t="b">
        <f t="shared" si="21"/>
        <v>0</v>
      </c>
      <c r="W55" s="67" t="b">
        <f t="shared" si="3"/>
        <v>0</v>
      </c>
      <c r="X55" s="67">
        <f t="shared" si="26"/>
        <v>0</v>
      </c>
      <c r="Y55" s="67">
        <f t="shared" si="27"/>
        <v>0</v>
      </c>
      <c r="Z55" s="67">
        <f t="shared" si="28"/>
        <v>0</v>
      </c>
      <c r="AA55" s="67">
        <f t="shared" si="29"/>
        <v>0</v>
      </c>
      <c r="AB55" s="67"/>
      <c r="AC55" s="67"/>
    </row>
    <row r="56" spans="2:29" s="66" customFormat="1" ht="20.100000000000001" customHeight="1" x14ac:dyDescent="0.25">
      <c r="B56" s="66">
        <f t="shared" si="22"/>
        <v>28</v>
      </c>
      <c r="C56" s="66">
        <f t="shared" si="8"/>
        <v>28</v>
      </c>
      <c r="D56" s="67">
        <f t="shared" si="9"/>
        <v>340000</v>
      </c>
      <c r="E56" s="67">
        <f t="shared" si="10"/>
        <v>0</v>
      </c>
      <c r="F56" s="67">
        <f t="shared" si="0"/>
        <v>3400</v>
      </c>
      <c r="G56" s="67">
        <f t="shared" si="1"/>
        <v>2550</v>
      </c>
      <c r="H56" s="67">
        <f t="shared" si="25"/>
        <v>0</v>
      </c>
      <c r="I56" s="67">
        <f t="shared" si="12"/>
        <v>0</v>
      </c>
      <c r="J56" s="67">
        <f t="shared" si="13"/>
        <v>5000</v>
      </c>
      <c r="K56" s="67">
        <f t="shared" si="14"/>
        <v>0</v>
      </c>
      <c r="L56" s="67">
        <f t="shared" si="15"/>
        <v>0</v>
      </c>
      <c r="M56" s="67">
        <f t="shared" si="16"/>
        <v>0</v>
      </c>
      <c r="N56" s="67">
        <f t="shared" si="2"/>
        <v>5000</v>
      </c>
      <c r="O56" s="67">
        <f t="shared" si="17"/>
        <v>0</v>
      </c>
      <c r="P56" s="67">
        <f t="shared" si="23"/>
        <v>335000</v>
      </c>
      <c r="Q56" s="67">
        <f t="shared" si="24"/>
        <v>0</v>
      </c>
      <c r="R56" s="67">
        <f t="shared" si="18"/>
        <v>335000</v>
      </c>
      <c r="S56" s="67">
        <f t="shared" si="19"/>
        <v>0</v>
      </c>
      <c r="T56" s="67"/>
      <c r="U56" s="67">
        <f t="shared" si="20"/>
        <v>5000</v>
      </c>
      <c r="V56" s="67" t="b">
        <f t="shared" si="21"/>
        <v>0</v>
      </c>
      <c r="W56" s="67" t="b">
        <f t="shared" si="3"/>
        <v>0</v>
      </c>
      <c r="X56" s="67">
        <f t="shared" si="26"/>
        <v>0</v>
      </c>
      <c r="Y56" s="67">
        <f t="shared" si="27"/>
        <v>0</v>
      </c>
      <c r="Z56" s="67">
        <f t="shared" si="28"/>
        <v>0</v>
      </c>
      <c r="AA56" s="67">
        <f t="shared" si="29"/>
        <v>0</v>
      </c>
      <c r="AB56" s="67"/>
      <c r="AC56" s="67"/>
    </row>
    <row r="57" spans="2:29" s="66" customFormat="1" ht="20.100000000000001" customHeight="1" x14ac:dyDescent="0.25">
      <c r="B57" s="66">
        <f t="shared" si="22"/>
        <v>29</v>
      </c>
      <c r="C57" s="66">
        <f t="shared" si="8"/>
        <v>29</v>
      </c>
      <c r="D57" s="67">
        <f t="shared" si="9"/>
        <v>335000</v>
      </c>
      <c r="E57" s="67">
        <f t="shared" si="10"/>
        <v>0</v>
      </c>
      <c r="F57" s="67">
        <f t="shared" si="0"/>
        <v>3350</v>
      </c>
      <c r="G57" s="67">
        <f t="shared" si="1"/>
        <v>2512.5</v>
      </c>
      <c r="H57" s="67">
        <f t="shared" si="25"/>
        <v>0</v>
      </c>
      <c r="I57" s="67">
        <f t="shared" si="12"/>
        <v>0</v>
      </c>
      <c r="J57" s="67">
        <f t="shared" si="13"/>
        <v>5000</v>
      </c>
      <c r="K57" s="67">
        <f t="shared" si="14"/>
        <v>0</v>
      </c>
      <c r="L57" s="67">
        <f t="shared" si="15"/>
        <v>0</v>
      </c>
      <c r="M57" s="67">
        <f t="shared" si="16"/>
        <v>0</v>
      </c>
      <c r="N57" s="67">
        <f t="shared" si="2"/>
        <v>5000</v>
      </c>
      <c r="O57" s="67">
        <f t="shared" si="17"/>
        <v>0</v>
      </c>
      <c r="P57" s="67">
        <f t="shared" si="23"/>
        <v>330000</v>
      </c>
      <c r="Q57" s="67">
        <f t="shared" si="24"/>
        <v>0</v>
      </c>
      <c r="R57" s="67">
        <f t="shared" si="18"/>
        <v>330000</v>
      </c>
      <c r="S57" s="67">
        <f t="shared" si="19"/>
        <v>0</v>
      </c>
      <c r="T57" s="67"/>
      <c r="U57" s="67">
        <f t="shared" si="20"/>
        <v>5000</v>
      </c>
      <c r="V57" s="67" t="b">
        <f t="shared" si="21"/>
        <v>0</v>
      </c>
      <c r="W57" s="67" t="b">
        <f t="shared" si="3"/>
        <v>0</v>
      </c>
      <c r="X57" s="67">
        <f t="shared" si="26"/>
        <v>0</v>
      </c>
      <c r="Y57" s="67">
        <f t="shared" si="27"/>
        <v>0</v>
      </c>
      <c r="Z57" s="67">
        <f t="shared" si="28"/>
        <v>0</v>
      </c>
      <c r="AA57" s="67">
        <f t="shared" si="29"/>
        <v>0</v>
      </c>
      <c r="AB57" s="67"/>
      <c r="AC57" s="67"/>
    </row>
    <row r="58" spans="2:29" s="66" customFormat="1" ht="20.100000000000001" customHeight="1" x14ac:dyDescent="0.25">
      <c r="B58" s="66">
        <f t="shared" si="22"/>
        <v>30</v>
      </c>
      <c r="C58" s="66">
        <f t="shared" si="8"/>
        <v>30</v>
      </c>
      <c r="D58" s="67">
        <f t="shared" si="9"/>
        <v>330000</v>
      </c>
      <c r="E58" s="67">
        <f t="shared" si="10"/>
        <v>0</v>
      </c>
      <c r="F58" s="67">
        <f t="shared" si="0"/>
        <v>3300</v>
      </c>
      <c r="G58" s="67">
        <f t="shared" si="1"/>
        <v>2475</v>
      </c>
      <c r="H58" s="67">
        <f t="shared" si="25"/>
        <v>0</v>
      </c>
      <c r="I58" s="67">
        <f t="shared" si="12"/>
        <v>0</v>
      </c>
      <c r="J58" s="67">
        <f t="shared" si="13"/>
        <v>5000</v>
      </c>
      <c r="K58" s="67">
        <f t="shared" si="14"/>
        <v>0</v>
      </c>
      <c r="L58" s="67">
        <f t="shared" si="15"/>
        <v>0</v>
      </c>
      <c r="M58" s="67">
        <f t="shared" si="16"/>
        <v>0</v>
      </c>
      <c r="N58" s="67">
        <f t="shared" si="2"/>
        <v>5000</v>
      </c>
      <c r="O58" s="67">
        <f t="shared" si="17"/>
        <v>0</v>
      </c>
      <c r="P58" s="67">
        <f t="shared" si="23"/>
        <v>325000</v>
      </c>
      <c r="Q58" s="67">
        <f t="shared" si="24"/>
        <v>0</v>
      </c>
      <c r="R58" s="67">
        <f t="shared" si="18"/>
        <v>325000</v>
      </c>
      <c r="S58" s="67">
        <f t="shared" si="19"/>
        <v>0</v>
      </c>
      <c r="T58" s="67"/>
      <c r="U58" s="67">
        <f t="shared" si="20"/>
        <v>5000</v>
      </c>
      <c r="V58" s="67" t="b">
        <f t="shared" si="21"/>
        <v>0</v>
      </c>
      <c r="W58" s="67" t="b">
        <f t="shared" si="3"/>
        <v>0</v>
      </c>
      <c r="X58" s="67">
        <f t="shared" si="26"/>
        <v>0</v>
      </c>
      <c r="Y58" s="67">
        <f t="shared" si="27"/>
        <v>0</v>
      </c>
      <c r="Z58" s="67">
        <f t="shared" si="28"/>
        <v>0</v>
      </c>
      <c r="AA58" s="67">
        <f t="shared" si="29"/>
        <v>0</v>
      </c>
      <c r="AB58" s="67"/>
      <c r="AC58" s="67"/>
    </row>
    <row r="59" spans="2:29" s="66" customFormat="1" ht="20.100000000000001" customHeight="1" x14ac:dyDescent="0.25">
      <c r="B59" s="66">
        <f t="shared" si="22"/>
        <v>31</v>
      </c>
      <c r="C59" s="66">
        <f t="shared" si="8"/>
        <v>31</v>
      </c>
      <c r="D59" s="67">
        <f t="shared" si="9"/>
        <v>325000</v>
      </c>
      <c r="E59" s="67">
        <f t="shared" si="10"/>
        <v>0</v>
      </c>
      <c r="F59" s="67">
        <f t="shared" si="0"/>
        <v>3250</v>
      </c>
      <c r="G59" s="67">
        <f t="shared" si="1"/>
        <v>2437.5</v>
      </c>
      <c r="H59" s="67">
        <f t="shared" si="25"/>
        <v>0</v>
      </c>
      <c r="I59" s="67">
        <f t="shared" si="12"/>
        <v>0</v>
      </c>
      <c r="J59" s="67">
        <f t="shared" si="13"/>
        <v>5000</v>
      </c>
      <c r="K59" s="67">
        <f t="shared" si="14"/>
        <v>0</v>
      </c>
      <c r="L59" s="67">
        <f t="shared" si="15"/>
        <v>0</v>
      </c>
      <c r="M59" s="67">
        <f t="shared" si="16"/>
        <v>0</v>
      </c>
      <c r="N59" s="67">
        <f t="shared" si="2"/>
        <v>5000</v>
      </c>
      <c r="O59" s="67">
        <f t="shared" si="17"/>
        <v>0</v>
      </c>
      <c r="P59" s="67">
        <f t="shared" si="23"/>
        <v>320000</v>
      </c>
      <c r="Q59" s="67">
        <f t="shared" si="24"/>
        <v>0</v>
      </c>
      <c r="R59" s="67">
        <f t="shared" si="18"/>
        <v>320000</v>
      </c>
      <c r="S59" s="67">
        <f t="shared" si="19"/>
        <v>0</v>
      </c>
      <c r="T59" s="67"/>
      <c r="U59" s="67">
        <f t="shared" si="20"/>
        <v>5000</v>
      </c>
      <c r="V59" s="67" t="b">
        <f t="shared" si="21"/>
        <v>0</v>
      </c>
      <c r="W59" s="67" t="b">
        <f t="shared" si="3"/>
        <v>0</v>
      </c>
      <c r="X59" s="67">
        <f t="shared" si="26"/>
        <v>0</v>
      </c>
      <c r="Y59" s="67">
        <f t="shared" si="27"/>
        <v>0</v>
      </c>
      <c r="Z59" s="67">
        <f t="shared" si="28"/>
        <v>0</v>
      </c>
      <c r="AA59" s="67">
        <f t="shared" si="29"/>
        <v>0</v>
      </c>
      <c r="AB59" s="67"/>
      <c r="AC59" s="67"/>
    </row>
    <row r="60" spans="2:29" s="66" customFormat="1" ht="20.100000000000001" customHeight="1" x14ac:dyDescent="0.25">
      <c r="B60" s="66">
        <f t="shared" si="22"/>
        <v>32</v>
      </c>
      <c r="C60" s="66">
        <f t="shared" si="8"/>
        <v>32</v>
      </c>
      <c r="D60" s="67">
        <f t="shared" si="9"/>
        <v>320000</v>
      </c>
      <c r="E60" s="67">
        <f t="shared" si="10"/>
        <v>0</v>
      </c>
      <c r="F60" s="67">
        <f t="shared" ref="F60:F78" si="30">+D60*Taux1</f>
        <v>3200</v>
      </c>
      <c r="G60" s="67">
        <f t="shared" ref="G60:G91" si="31">IF(C60&gt;Durée_Amort,0,+F60*(1-Taux_M_I))</f>
        <v>2400</v>
      </c>
      <c r="H60" s="67">
        <f t="shared" si="25"/>
        <v>0</v>
      </c>
      <c r="I60" s="67">
        <f t="shared" si="12"/>
        <v>0</v>
      </c>
      <c r="J60" s="67">
        <f t="shared" si="13"/>
        <v>5000</v>
      </c>
      <c r="K60" s="67">
        <f t="shared" si="14"/>
        <v>0</v>
      </c>
      <c r="L60" s="67">
        <f t="shared" si="15"/>
        <v>0</v>
      </c>
      <c r="M60" s="67">
        <f t="shared" si="16"/>
        <v>0</v>
      </c>
      <c r="N60" s="67">
        <f t="shared" ref="N60:N91" si="32">IF(O60&lt;Amort_Direct,Amort_Direct-O60,0)</f>
        <v>5000</v>
      </c>
      <c r="O60" s="67">
        <f t="shared" si="17"/>
        <v>0</v>
      </c>
      <c r="P60" s="67">
        <f t="shared" si="23"/>
        <v>315000</v>
      </c>
      <c r="Q60" s="67">
        <f t="shared" si="24"/>
        <v>0</v>
      </c>
      <c r="R60" s="67">
        <f t="shared" si="18"/>
        <v>315000</v>
      </c>
      <c r="S60" s="67">
        <f t="shared" si="19"/>
        <v>0</v>
      </c>
      <c r="T60" s="67"/>
      <c r="U60" s="67">
        <f t="shared" si="20"/>
        <v>5000</v>
      </c>
      <c r="V60" s="67" t="b">
        <f t="shared" si="21"/>
        <v>0</v>
      </c>
      <c r="W60" s="67" t="b">
        <f t="shared" si="3"/>
        <v>0</v>
      </c>
      <c r="X60" s="67">
        <f t="shared" si="26"/>
        <v>0</v>
      </c>
      <c r="Y60" s="67">
        <f t="shared" si="27"/>
        <v>0</v>
      </c>
      <c r="Z60" s="67">
        <f t="shared" si="28"/>
        <v>0</v>
      </c>
      <c r="AA60" s="67">
        <f t="shared" si="29"/>
        <v>0</v>
      </c>
      <c r="AB60" s="67"/>
      <c r="AC60" s="67"/>
    </row>
    <row r="61" spans="2:29" s="66" customFormat="1" ht="20.100000000000001" customHeight="1" x14ac:dyDescent="0.25">
      <c r="B61" s="66">
        <f t="shared" si="22"/>
        <v>33</v>
      </c>
      <c r="C61" s="66">
        <f t="shared" ref="C61:C92" si="33">IF(B61&gt;Durée_Amort,"",B61)</f>
        <v>33</v>
      </c>
      <c r="D61" s="67">
        <f t="shared" ref="D61:D92" si="34">IF(C61&gt;Durée_Amort,0,+D60-J60-L61)</f>
        <v>315000</v>
      </c>
      <c r="E61" s="67">
        <f t="shared" ref="E61:E78" si="35">IF(C61&gt;Durée_Amort,0,E60-K60-M61)</f>
        <v>0</v>
      </c>
      <c r="F61" s="67">
        <f t="shared" si="30"/>
        <v>3150</v>
      </c>
      <c r="G61" s="67">
        <f t="shared" si="31"/>
        <v>2362.5</v>
      </c>
      <c r="H61" s="67">
        <f t="shared" si="25"/>
        <v>0</v>
      </c>
      <c r="I61" s="67">
        <f t="shared" ref="I61:I92" si="36">+H61*(1-Taux_M_I)</f>
        <v>0</v>
      </c>
      <c r="J61" s="67">
        <f t="shared" si="13"/>
        <v>5000</v>
      </c>
      <c r="K61" s="67">
        <f t="shared" si="14"/>
        <v>0</v>
      </c>
      <c r="L61" s="67">
        <f t="shared" si="15"/>
        <v>0</v>
      </c>
      <c r="M61" s="67">
        <f t="shared" si="16"/>
        <v>0</v>
      </c>
      <c r="N61" s="67">
        <f t="shared" si="32"/>
        <v>5000</v>
      </c>
      <c r="O61" s="67">
        <f t="shared" ref="O61:O78" si="37">IF(Q60&lt;Amort_Direct,Q60,Amort_Direct)</f>
        <v>0</v>
      </c>
      <c r="P61" s="67">
        <f t="shared" si="23"/>
        <v>310000</v>
      </c>
      <c r="Q61" s="67">
        <f t="shared" si="24"/>
        <v>0</v>
      </c>
      <c r="R61" s="67">
        <f t="shared" si="18"/>
        <v>310000</v>
      </c>
      <c r="S61" s="67">
        <f t="shared" si="19"/>
        <v>0</v>
      </c>
      <c r="T61" s="67"/>
      <c r="U61" s="67">
        <f t="shared" si="20"/>
        <v>5000</v>
      </c>
      <c r="V61" s="67" t="b">
        <f t="shared" si="21"/>
        <v>0</v>
      </c>
      <c r="W61" s="67" t="b">
        <f t="shared" si="3"/>
        <v>0</v>
      </c>
      <c r="X61" s="67">
        <f t="shared" si="26"/>
        <v>0</v>
      </c>
      <c r="Y61" s="67">
        <f t="shared" si="27"/>
        <v>0</v>
      </c>
      <c r="Z61" s="67">
        <f t="shared" si="28"/>
        <v>0</v>
      </c>
      <c r="AA61" s="67">
        <f t="shared" si="29"/>
        <v>0</v>
      </c>
      <c r="AB61" s="67"/>
      <c r="AC61" s="67"/>
    </row>
    <row r="62" spans="2:29" s="66" customFormat="1" ht="20.100000000000001" customHeight="1" x14ac:dyDescent="0.25">
      <c r="B62" s="66">
        <f t="shared" si="22"/>
        <v>34</v>
      </c>
      <c r="C62" s="66">
        <f t="shared" si="33"/>
        <v>34</v>
      </c>
      <c r="D62" s="67">
        <f t="shared" si="34"/>
        <v>310000</v>
      </c>
      <c r="E62" s="67">
        <f t="shared" si="35"/>
        <v>0</v>
      </c>
      <c r="F62" s="67">
        <f t="shared" si="30"/>
        <v>3100</v>
      </c>
      <c r="G62" s="67">
        <f t="shared" si="31"/>
        <v>2325</v>
      </c>
      <c r="H62" s="67">
        <f t="shared" si="25"/>
        <v>0</v>
      </c>
      <c r="I62" s="67">
        <f t="shared" si="36"/>
        <v>0</v>
      </c>
      <c r="J62" s="67">
        <f t="shared" si="13"/>
        <v>5000</v>
      </c>
      <c r="K62" s="67">
        <f t="shared" si="14"/>
        <v>0</v>
      </c>
      <c r="L62" s="67">
        <f t="shared" si="15"/>
        <v>0</v>
      </c>
      <c r="M62" s="67">
        <f t="shared" si="16"/>
        <v>0</v>
      </c>
      <c r="N62" s="67">
        <f t="shared" si="32"/>
        <v>5000</v>
      </c>
      <c r="O62" s="67">
        <f t="shared" si="37"/>
        <v>0</v>
      </c>
      <c r="P62" s="67">
        <f t="shared" si="23"/>
        <v>305000</v>
      </c>
      <c r="Q62" s="67">
        <f t="shared" si="24"/>
        <v>0</v>
      </c>
      <c r="R62" s="67">
        <f t="shared" si="18"/>
        <v>305000</v>
      </c>
      <c r="S62" s="67">
        <f t="shared" si="19"/>
        <v>0</v>
      </c>
      <c r="T62" s="67"/>
      <c r="U62" s="67">
        <f t="shared" si="20"/>
        <v>5000</v>
      </c>
      <c r="V62" s="67" t="b">
        <f t="shared" si="21"/>
        <v>0</v>
      </c>
      <c r="W62" s="67" t="b">
        <f t="shared" si="3"/>
        <v>0</v>
      </c>
      <c r="X62" s="67">
        <f t="shared" si="26"/>
        <v>0</v>
      </c>
      <c r="Y62" s="67">
        <f t="shared" si="27"/>
        <v>0</v>
      </c>
      <c r="Z62" s="67">
        <f t="shared" si="28"/>
        <v>0</v>
      </c>
      <c r="AA62" s="67">
        <f t="shared" si="29"/>
        <v>0</v>
      </c>
      <c r="AB62" s="67"/>
      <c r="AC62" s="67"/>
    </row>
    <row r="63" spans="2:29" s="66" customFormat="1" ht="20.100000000000001" customHeight="1" x14ac:dyDescent="0.25">
      <c r="B63" s="66">
        <f t="shared" si="22"/>
        <v>35</v>
      </c>
      <c r="C63" s="66">
        <f t="shared" si="33"/>
        <v>35</v>
      </c>
      <c r="D63" s="67">
        <f t="shared" si="34"/>
        <v>305000</v>
      </c>
      <c r="E63" s="67">
        <f t="shared" si="35"/>
        <v>0</v>
      </c>
      <c r="F63" s="67">
        <f t="shared" si="30"/>
        <v>3050</v>
      </c>
      <c r="G63" s="67">
        <f t="shared" si="31"/>
        <v>2287.5</v>
      </c>
      <c r="H63" s="67">
        <f t="shared" si="25"/>
        <v>0</v>
      </c>
      <c r="I63" s="67">
        <f t="shared" si="36"/>
        <v>0</v>
      </c>
      <c r="J63" s="67">
        <f t="shared" si="13"/>
        <v>5000</v>
      </c>
      <c r="K63" s="67">
        <f t="shared" si="14"/>
        <v>0</v>
      </c>
      <c r="L63" s="67">
        <f t="shared" si="15"/>
        <v>0</v>
      </c>
      <c r="M63" s="67">
        <f t="shared" si="16"/>
        <v>0</v>
      </c>
      <c r="N63" s="67">
        <f t="shared" si="32"/>
        <v>5000</v>
      </c>
      <c r="O63" s="67">
        <f t="shared" si="37"/>
        <v>0</v>
      </c>
      <c r="P63" s="67">
        <f t="shared" si="23"/>
        <v>300000</v>
      </c>
      <c r="Q63" s="67">
        <f t="shared" si="24"/>
        <v>0</v>
      </c>
      <c r="R63" s="67">
        <f t="shared" si="18"/>
        <v>300000</v>
      </c>
      <c r="S63" s="67">
        <f t="shared" si="19"/>
        <v>0</v>
      </c>
      <c r="T63" s="67"/>
      <c r="U63" s="67">
        <f t="shared" si="20"/>
        <v>5000</v>
      </c>
      <c r="V63" s="67" t="b">
        <f t="shared" si="21"/>
        <v>0</v>
      </c>
      <c r="W63" s="67" t="b">
        <f t="shared" si="3"/>
        <v>0</v>
      </c>
      <c r="X63" s="67">
        <f t="shared" si="26"/>
        <v>0</v>
      </c>
      <c r="Y63" s="67">
        <f t="shared" si="27"/>
        <v>0</v>
      </c>
      <c r="Z63" s="67">
        <f t="shared" si="28"/>
        <v>0</v>
      </c>
      <c r="AA63" s="67">
        <f t="shared" si="29"/>
        <v>0</v>
      </c>
      <c r="AB63" s="67"/>
      <c r="AC63" s="67"/>
    </row>
    <row r="64" spans="2:29" s="66" customFormat="1" ht="20.100000000000001" customHeight="1" x14ac:dyDescent="0.25">
      <c r="B64" s="66">
        <f t="shared" si="22"/>
        <v>36</v>
      </c>
      <c r="C64" s="66">
        <f t="shared" si="33"/>
        <v>36</v>
      </c>
      <c r="D64" s="67">
        <f t="shared" si="34"/>
        <v>300000</v>
      </c>
      <c r="E64" s="67">
        <f t="shared" si="35"/>
        <v>0</v>
      </c>
      <c r="F64" s="67">
        <f t="shared" si="30"/>
        <v>3000</v>
      </c>
      <c r="G64" s="67">
        <f t="shared" si="31"/>
        <v>2250</v>
      </c>
      <c r="H64" s="67">
        <f t="shared" si="25"/>
        <v>0</v>
      </c>
      <c r="I64" s="67">
        <f t="shared" si="36"/>
        <v>0</v>
      </c>
      <c r="J64" s="67">
        <f t="shared" si="13"/>
        <v>5000</v>
      </c>
      <c r="K64" s="67">
        <f t="shared" si="14"/>
        <v>0</v>
      </c>
      <c r="L64" s="67">
        <f t="shared" si="15"/>
        <v>0</v>
      </c>
      <c r="M64" s="67">
        <f t="shared" si="16"/>
        <v>0</v>
      </c>
      <c r="N64" s="67">
        <f t="shared" si="32"/>
        <v>5000</v>
      </c>
      <c r="O64" s="67">
        <f t="shared" si="37"/>
        <v>0</v>
      </c>
      <c r="P64" s="67">
        <f t="shared" si="23"/>
        <v>295000</v>
      </c>
      <c r="Q64" s="67">
        <f t="shared" si="24"/>
        <v>0</v>
      </c>
      <c r="R64" s="67">
        <f t="shared" si="18"/>
        <v>295000</v>
      </c>
      <c r="S64" s="67">
        <f t="shared" si="19"/>
        <v>0</v>
      </c>
      <c r="T64" s="67"/>
      <c r="U64" s="67">
        <f t="shared" si="20"/>
        <v>5000</v>
      </c>
      <c r="V64" s="67" t="b">
        <f t="shared" si="21"/>
        <v>0</v>
      </c>
      <c r="W64" s="67" t="b">
        <f t="shared" si="3"/>
        <v>0</v>
      </c>
      <c r="X64" s="67">
        <f t="shared" si="26"/>
        <v>0</v>
      </c>
      <c r="Y64" s="67">
        <f t="shared" si="27"/>
        <v>0</v>
      </c>
      <c r="Z64" s="67">
        <f t="shared" si="28"/>
        <v>0</v>
      </c>
      <c r="AA64" s="67">
        <f t="shared" si="29"/>
        <v>0</v>
      </c>
      <c r="AB64" s="67"/>
      <c r="AC64" s="67"/>
    </row>
    <row r="65" spans="2:29" s="66" customFormat="1" ht="20.100000000000001" customHeight="1" x14ac:dyDescent="0.25">
      <c r="B65" s="66">
        <f t="shared" si="22"/>
        <v>37</v>
      </c>
      <c r="C65" s="66">
        <f t="shared" si="33"/>
        <v>37</v>
      </c>
      <c r="D65" s="67">
        <f t="shared" si="34"/>
        <v>295000</v>
      </c>
      <c r="E65" s="67">
        <f t="shared" si="35"/>
        <v>0</v>
      </c>
      <c r="F65" s="67">
        <f t="shared" si="30"/>
        <v>2950</v>
      </c>
      <c r="G65" s="67">
        <f t="shared" si="31"/>
        <v>2212.5</v>
      </c>
      <c r="H65" s="67">
        <f t="shared" si="25"/>
        <v>0</v>
      </c>
      <c r="I65" s="67">
        <f t="shared" si="36"/>
        <v>0</v>
      </c>
      <c r="J65" s="67">
        <f t="shared" si="13"/>
        <v>5000</v>
      </c>
      <c r="K65" s="67">
        <f t="shared" si="14"/>
        <v>0</v>
      </c>
      <c r="L65" s="67">
        <f t="shared" si="15"/>
        <v>0</v>
      </c>
      <c r="M65" s="67">
        <f t="shared" si="16"/>
        <v>0</v>
      </c>
      <c r="N65" s="67">
        <f t="shared" si="32"/>
        <v>5000</v>
      </c>
      <c r="O65" s="67">
        <f t="shared" si="37"/>
        <v>0</v>
      </c>
      <c r="P65" s="67">
        <f t="shared" si="23"/>
        <v>290000</v>
      </c>
      <c r="Q65" s="67">
        <f t="shared" si="24"/>
        <v>0</v>
      </c>
      <c r="R65" s="67">
        <f t="shared" si="18"/>
        <v>290000</v>
      </c>
      <c r="S65" s="67">
        <f t="shared" si="19"/>
        <v>0</v>
      </c>
      <c r="T65" s="67"/>
      <c r="U65" s="67">
        <f t="shared" si="20"/>
        <v>5000</v>
      </c>
      <c r="V65" s="67" t="b">
        <f t="shared" si="21"/>
        <v>0</v>
      </c>
      <c r="W65" s="67" t="b">
        <f t="shared" si="3"/>
        <v>0</v>
      </c>
      <c r="X65" s="67">
        <f t="shared" si="26"/>
        <v>0</v>
      </c>
      <c r="Y65" s="67">
        <f t="shared" si="27"/>
        <v>0</v>
      </c>
      <c r="Z65" s="67">
        <f t="shared" si="28"/>
        <v>0</v>
      </c>
      <c r="AA65" s="67">
        <f t="shared" si="29"/>
        <v>0</v>
      </c>
      <c r="AB65" s="67"/>
      <c r="AC65" s="67"/>
    </row>
    <row r="66" spans="2:29" s="66" customFormat="1" ht="20.100000000000001" customHeight="1" x14ac:dyDescent="0.25">
      <c r="B66" s="66">
        <f t="shared" si="22"/>
        <v>38</v>
      </c>
      <c r="C66" s="66">
        <f t="shared" si="33"/>
        <v>38</v>
      </c>
      <c r="D66" s="67">
        <f t="shared" si="34"/>
        <v>290000</v>
      </c>
      <c r="E66" s="67">
        <f t="shared" si="35"/>
        <v>0</v>
      </c>
      <c r="F66" s="67">
        <f t="shared" si="30"/>
        <v>2900</v>
      </c>
      <c r="G66" s="67">
        <f t="shared" si="31"/>
        <v>2175</v>
      </c>
      <c r="H66" s="67">
        <f t="shared" si="25"/>
        <v>0</v>
      </c>
      <c r="I66" s="67">
        <f t="shared" si="36"/>
        <v>0</v>
      </c>
      <c r="J66" s="67">
        <f t="shared" si="13"/>
        <v>5000</v>
      </c>
      <c r="K66" s="67">
        <f t="shared" si="14"/>
        <v>0</v>
      </c>
      <c r="L66" s="67">
        <f t="shared" si="15"/>
        <v>0</v>
      </c>
      <c r="M66" s="67">
        <f t="shared" si="16"/>
        <v>0</v>
      </c>
      <c r="N66" s="67">
        <f t="shared" si="32"/>
        <v>5000</v>
      </c>
      <c r="O66" s="67">
        <f t="shared" si="37"/>
        <v>0</v>
      </c>
      <c r="P66" s="67">
        <f t="shared" si="23"/>
        <v>285000</v>
      </c>
      <c r="Q66" s="67">
        <f t="shared" si="24"/>
        <v>0</v>
      </c>
      <c r="R66" s="67">
        <f t="shared" si="18"/>
        <v>285000</v>
      </c>
      <c r="S66" s="67">
        <f t="shared" si="19"/>
        <v>0</v>
      </c>
      <c r="T66" s="67"/>
      <c r="U66" s="67">
        <f t="shared" si="20"/>
        <v>5000</v>
      </c>
      <c r="V66" s="67" t="b">
        <f t="shared" si="21"/>
        <v>0</v>
      </c>
      <c r="W66" s="67" t="b">
        <f t="shared" si="3"/>
        <v>0</v>
      </c>
      <c r="X66" s="67">
        <f t="shared" si="26"/>
        <v>0</v>
      </c>
      <c r="Y66" s="67">
        <f t="shared" si="27"/>
        <v>0</v>
      </c>
      <c r="Z66" s="67">
        <f t="shared" si="28"/>
        <v>0</v>
      </c>
      <c r="AA66" s="67">
        <f t="shared" si="29"/>
        <v>0</v>
      </c>
      <c r="AB66" s="67"/>
      <c r="AC66" s="67"/>
    </row>
    <row r="67" spans="2:29" s="66" customFormat="1" ht="20.100000000000001" customHeight="1" x14ac:dyDescent="0.25">
      <c r="B67" s="66">
        <f t="shared" si="22"/>
        <v>39</v>
      </c>
      <c r="C67" s="66">
        <f t="shared" si="33"/>
        <v>39</v>
      </c>
      <c r="D67" s="67">
        <f t="shared" si="34"/>
        <v>285000</v>
      </c>
      <c r="E67" s="67">
        <f t="shared" si="35"/>
        <v>0</v>
      </c>
      <c r="F67" s="67">
        <f t="shared" si="30"/>
        <v>2850</v>
      </c>
      <c r="G67" s="67">
        <f t="shared" si="31"/>
        <v>2137.5</v>
      </c>
      <c r="H67" s="67">
        <f t="shared" si="25"/>
        <v>0</v>
      </c>
      <c r="I67" s="67">
        <f t="shared" si="36"/>
        <v>0</v>
      </c>
      <c r="J67" s="67">
        <f t="shared" si="13"/>
        <v>5000</v>
      </c>
      <c r="K67" s="67">
        <f t="shared" si="14"/>
        <v>0</v>
      </c>
      <c r="L67" s="67">
        <f t="shared" si="15"/>
        <v>0</v>
      </c>
      <c r="M67" s="67">
        <f t="shared" si="16"/>
        <v>0</v>
      </c>
      <c r="N67" s="67">
        <f t="shared" si="32"/>
        <v>5000</v>
      </c>
      <c r="O67" s="67">
        <f t="shared" si="37"/>
        <v>0</v>
      </c>
      <c r="P67" s="67">
        <f t="shared" si="23"/>
        <v>280000</v>
      </c>
      <c r="Q67" s="67">
        <f t="shared" si="24"/>
        <v>0</v>
      </c>
      <c r="R67" s="67">
        <f t="shared" si="18"/>
        <v>280000</v>
      </c>
      <c r="S67" s="67">
        <f t="shared" si="19"/>
        <v>0</v>
      </c>
      <c r="T67" s="67"/>
      <c r="U67" s="67">
        <f t="shared" si="20"/>
        <v>5000</v>
      </c>
      <c r="V67" s="67" t="b">
        <f t="shared" si="21"/>
        <v>0</v>
      </c>
      <c r="W67" s="67" t="b">
        <f t="shared" si="3"/>
        <v>0</v>
      </c>
      <c r="X67" s="67">
        <f t="shared" si="26"/>
        <v>0</v>
      </c>
      <c r="Y67" s="67">
        <f t="shared" si="27"/>
        <v>0</v>
      </c>
      <c r="Z67" s="67">
        <f t="shared" si="28"/>
        <v>0</v>
      </c>
      <c r="AA67" s="67">
        <f t="shared" si="29"/>
        <v>0</v>
      </c>
      <c r="AB67" s="67"/>
      <c r="AC67" s="67"/>
    </row>
    <row r="68" spans="2:29" s="66" customFormat="1" ht="20.100000000000001" customHeight="1" x14ac:dyDescent="0.25">
      <c r="B68" s="66">
        <f t="shared" si="22"/>
        <v>40</v>
      </c>
      <c r="C68" s="66">
        <f t="shared" si="33"/>
        <v>40</v>
      </c>
      <c r="D68" s="67">
        <f t="shared" si="34"/>
        <v>53045</v>
      </c>
      <c r="E68" s="67">
        <f t="shared" si="35"/>
        <v>0</v>
      </c>
      <c r="F68" s="67">
        <f t="shared" si="30"/>
        <v>530.45000000000005</v>
      </c>
      <c r="G68" s="67">
        <f t="shared" si="31"/>
        <v>397.83750000000003</v>
      </c>
      <c r="H68" s="67">
        <f t="shared" si="25"/>
        <v>0</v>
      </c>
      <c r="I68" s="67">
        <f t="shared" si="36"/>
        <v>0</v>
      </c>
      <c r="J68" s="67">
        <f t="shared" si="13"/>
        <v>5000</v>
      </c>
      <c r="K68" s="67">
        <f t="shared" si="14"/>
        <v>0</v>
      </c>
      <c r="L68" s="67">
        <f t="shared" si="15"/>
        <v>226955</v>
      </c>
      <c r="M68" s="67">
        <f t="shared" si="16"/>
        <v>0</v>
      </c>
      <c r="N68" s="67">
        <f t="shared" si="32"/>
        <v>5000</v>
      </c>
      <c r="O68" s="67">
        <f t="shared" si="37"/>
        <v>0</v>
      </c>
      <c r="P68" s="67">
        <f t="shared" si="23"/>
        <v>275000</v>
      </c>
      <c r="Q68" s="67">
        <f t="shared" si="24"/>
        <v>0</v>
      </c>
      <c r="R68" s="67">
        <f t="shared" si="18"/>
        <v>48045</v>
      </c>
      <c r="S68" s="67">
        <f t="shared" si="19"/>
        <v>0</v>
      </c>
      <c r="T68" s="67"/>
      <c r="U68" s="67">
        <f t="shared" si="20"/>
        <v>5000</v>
      </c>
      <c r="V68" s="67" t="b">
        <f t="shared" si="21"/>
        <v>1</v>
      </c>
      <c r="W68" s="67">
        <f>IF(V68=TRUE,$D$22)</f>
        <v>226955</v>
      </c>
      <c r="X68" s="67">
        <f t="shared" si="26"/>
        <v>226955</v>
      </c>
      <c r="Y68" s="67">
        <f t="shared" si="27"/>
        <v>0</v>
      </c>
      <c r="Z68" s="67">
        <f t="shared" si="28"/>
        <v>48045</v>
      </c>
      <c r="AA68" s="67">
        <f t="shared" si="29"/>
        <v>0</v>
      </c>
      <c r="AB68" s="67"/>
      <c r="AC68" s="67"/>
    </row>
    <row r="69" spans="2:29" s="66" customFormat="1" ht="20.100000000000001" customHeight="1" x14ac:dyDescent="0.25">
      <c r="B69" s="66">
        <f t="shared" si="22"/>
        <v>41</v>
      </c>
      <c r="C69" s="66" t="str">
        <f t="shared" si="33"/>
        <v/>
      </c>
      <c r="D69" s="67">
        <f t="shared" si="34"/>
        <v>0</v>
      </c>
      <c r="E69" s="67">
        <f t="shared" si="35"/>
        <v>0</v>
      </c>
      <c r="F69" s="67">
        <f t="shared" si="30"/>
        <v>0</v>
      </c>
      <c r="G69" s="67">
        <f t="shared" si="31"/>
        <v>0</v>
      </c>
      <c r="H69" s="67">
        <f t="shared" si="25"/>
        <v>0</v>
      </c>
      <c r="I69" s="67">
        <f t="shared" si="36"/>
        <v>0</v>
      </c>
      <c r="J69" s="67">
        <f t="shared" si="13"/>
        <v>5000</v>
      </c>
      <c r="K69" s="67">
        <f t="shared" si="14"/>
        <v>0</v>
      </c>
      <c r="L69" s="67">
        <f t="shared" si="15"/>
        <v>0</v>
      </c>
      <c r="M69" s="67">
        <f t="shared" si="16"/>
        <v>0</v>
      </c>
      <c r="N69" s="67">
        <f t="shared" si="32"/>
        <v>5000</v>
      </c>
      <c r="O69" s="67">
        <f t="shared" si="37"/>
        <v>0</v>
      </c>
      <c r="P69" s="67">
        <f t="shared" si="23"/>
        <v>270000</v>
      </c>
      <c r="Q69" s="67">
        <f t="shared" si="24"/>
        <v>0</v>
      </c>
      <c r="R69" s="67">
        <f t="shared" si="18"/>
        <v>-5000</v>
      </c>
      <c r="S69" s="67">
        <f t="shared" si="19"/>
        <v>0</v>
      </c>
      <c r="T69" s="67"/>
      <c r="U69" s="67">
        <f t="shared" si="20"/>
        <v>5000</v>
      </c>
      <c r="V69" s="67" t="b">
        <f t="shared" si="21"/>
        <v>0</v>
      </c>
      <c r="W69" s="67" t="b">
        <f t="shared" ref="W69:W78" si="38">IF(V69=TRUE,$D$22)</f>
        <v>0</v>
      </c>
      <c r="X69" s="67">
        <f t="shared" si="26"/>
        <v>0</v>
      </c>
      <c r="Y69" s="67">
        <f t="shared" si="27"/>
        <v>0</v>
      </c>
      <c r="Z69" s="67">
        <f t="shared" si="28"/>
        <v>0</v>
      </c>
      <c r="AA69" s="67">
        <f t="shared" si="29"/>
        <v>0</v>
      </c>
      <c r="AB69" s="67"/>
      <c r="AC69" s="67"/>
    </row>
    <row r="70" spans="2:29" s="66" customFormat="1" ht="20.100000000000001" customHeight="1" x14ac:dyDescent="0.25">
      <c r="B70" s="66">
        <f t="shared" si="22"/>
        <v>42</v>
      </c>
      <c r="C70" s="66" t="str">
        <f t="shared" si="33"/>
        <v/>
      </c>
      <c r="D70" s="67">
        <f t="shared" si="34"/>
        <v>0</v>
      </c>
      <c r="E70" s="67">
        <f t="shared" si="35"/>
        <v>0</v>
      </c>
      <c r="F70" s="67">
        <f t="shared" si="30"/>
        <v>0</v>
      </c>
      <c r="G70" s="67">
        <f t="shared" si="31"/>
        <v>0</v>
      </c>
      <c r="H70" s="67">
        <f t="shared" si="25"/>
        <v>0</v>
      </c>
      <c r="I70" s="67">
        <f t="shared" si="36"/>
        <v>0</v>
      </c>
      <c r="J70" s="67">
        <f t="shared" si="13"/>
        <v>5000</v>
      </c>
      <c r="K70" s="67">
        <f t="shared" si="14"/>
        <v>0</v>
      </c>
      <c r="L70" s="67">
        <f t="shared" si="15"/>
        <v>0</v>
      </c>
      <c r="M70" s="67">
        <f t="shared" si="16"/>
        <v>0</v>
      </c>
      <c r="N70" s="67">
        <f t="shared" si="32"/>
        <v>5000</v>
      </c>
      <c r="O70" s="67">
        <f t="shared" si="37"/>
        <v>0</v>
      </c>
      <c r="P70" s="67">
        <f t="shared" si="23"/>
        <v>265000</v>
      </c>
      <c r="Q70" s="67">
        <f t="shared" si="24"/>
        <v>0</v>
      </c>
      <c r="R70" s="67">
        <f t="shared" si="18"/>
        <v>-5000</v>
      </c>
      <c r="S70" s="67">
        <f t="shared" si="19"/>
        <v>0</v>
      </c>
      <c r="T70" s="67"/>
      <c r="U70" s="67">
        <f t="shared" si="20"/>
        <v>5000</v>
      </c>
      <c r="V70" s="67" t="b">
        <f t="shared" si="21"/>
        <v>0</v>
      </c>
      <c r="W70" s="67" t="b">
        <f t="shared" si="38"/>
        <v>0</v>
      </c>
      <c r="X70" s="67">
        <f t="shared" si="26"/>
        <v>0</v>
      </c>
      <c r="Y70" s="67">
        <f t="shared" si="27"/>
        <v>0</v>
      </c>
      <c r="Z70" s="67">
        <f t="shared" si="28"/>
        <v>0</v>
      </c>
      <c r="AA70" s="67">
        <f t="shared" si="29"/>
        <v>0</v>
      </c>
      <c r="AB70" s="67"/>
      <c r="AC70" s="67"/>
    </row>
    <row r="71" spans="2:29" s="66" customFormat="1" ht="20.100000000000001" customHeight="1" x14ac:dyDescent="0.25">
      <c r="B71" s="66">
        <f t="shared" si="22"/>
        <v>43</v>
      </c>
      <c r="C71" s="66" t="str">
        <f t="shared" si="33"/>
        <v/>
      </c>
      <c r="D71" s="67">
        <f t="shared" si="34"/>
        <v>0</v>
      </c>
      <c r="E71" s="67">
        <f t="shared" si="35"/>
        <v>0</v>
      </c>
      <c r="F71" s="67">
        <f t="shared" si="30"/>
        <v>0</v>
      </c>
      <c r="G71" s="67">
        <f t="shared" si="31"/>
        <v>0</v>
      </c>
      <c r="H71" s="67">
        <f t="shared" si="25"/>
        <v>0</v>
      </c>
      <c r="I71" s="67">
        <f t="shared" si="36"/>
        <v>0</v>
      </c>
      <c r="J71" s="67">
        <f t="shared" si="13"/>
        <v>5000</v>
      </c>
      <c r="K71" s="67">
        <f t="shared" si="14"/>
        <v>0</v>
      </c>
      <c r="L71" s="67">
        <f t="shared" si="15"/>
        <v>0</v>
      </c>
      <c r="M71" s="67">
        <f t="shared" si="16"/>
        <v>0</v>
      </c>
      <c r="N71" s="67">
        <f t="shared" si="32"/>
        <v>5000</v>
      </c>
      <c r="O71" s="67">
        <f t="shared" si="37"/>
        <v>0</v>
      </c>
      <c r="P71" s="67">
        <f t="shared" si="23"/>
        <v>260000</v>
      </c>
      <c r="Q71" s="67">
        <f t="shared" si="24"/>
        <v>0</v>
      </c>
      <c r="R71" s="67">
        <f t="shared" si="18"/>
        <v>-5000</v>
      </c>
      <c r="S71" s="67">
        <f t="shared" si="19"/>
        <v>0</v>
      </c>
      <c r="T71" s="67"/>
      <c r="U71" s="67">
        <f t="shared" si="20"/>
        <v>5000</v>
      </c>
      <c r="V71" s="67" t="b">
        <f t="shared" si="21"/>
        <v>0</v>
      </c>
      <c r="W71" s="67" t="b">
        <f t="shared" si="38"/>
        <v>0</v>
      </c>
      <c r="X71" s="67">
        <f t="shared" si="26"/>
        <v>0</v>
      </c>
      <c r="Y71" s="67">
        <f t="shared" si="27"/>
        <v>0</v>
      </c>
      <c r="Z71" s="67">
        <f t="shared" si="28"/>
        <v>0</v>
      </c>
      <c r="AA71" s="67">
        <f t="shared" si="29"/>
        <v>0</v>
      </c>
      <c r="AB71" s="67"/>
      <c r="AC71" s="67"/>
    </row>
    <row r="72" spans="2:29" s="66" customFormat="1" ht="20.100000000000001" customHeight="1" x14ac:dyDescent="0.25">
      <c r="B72" s="66">
        <f t="shared" si="22"/>
        <v>44</v>
      </c>
      <c r="C72" s="66" t="str">
        <f t="shared" si="33"/>
        <v/>
      </c>
      <c r="D72" s="67">
        <f t="shared" si="34"/>
        <v>0</v>
      </c>
      <c r="E72" s="67">
        <f t="shared" si="35"/>
        <v>0</v>
      </c>
      <c r="F72" s="67">
        <f t="shared" si="30"/>
        <v>0</v>
      </c>
      <c r="G72" s="67">
        <f t="shared" si="31"/>
        <v>0</v>
      </c>
      <c r="H72" s="67">
        <f t="shared" si="25"/>
        <v>0</v>
      </c>
      <c r="I72" s="67">
        <f t="shared" si="36"/>
        <v>0</v>
      </c>
      <c r="J72" s="67">
        <f t="shared" si="13"/>
        <v>5000</v>
      </c>
      <c r="K72" s="67">
        <f t="shared" si="14"/>
        <v>0</v>
      </c>
      <c r="L72" s="67">
        <f t="shared" si="15"/>
        <v>0</v>
      </c>
      <c r="M72" s="67">
        <f t="shared" si="16"/>
        <v>0</v>
      </c>
      <c r="N72" s="67">
        <f t="shared" si="32"/>
        <v>5000</v>
      </c>
      <c r="O72" s="67">
        <f t="shared" si="37"/>
        <v>0</v>
      </c>
      <c r="P72" s="67">
        <f t="shared" si="23"/>
        <v>255000</v>
      </c>
      <c r="Q72" s="67">
        <f t="shared" si="24"/>
        <v>0</v>
      </c>
      <c r="R72" s="67">
        <f t="shared" si="18"/>
        <v>-5000</v>
      </c>
      <c r="S72" s="67">
        <f t="shared" si="19"/>
        <v>0</v>
      </c>
      <c r="T72" s="67"/>
      <c r="U72" s="67">
        <f t="shared" si="20"/>
        <v>5000</v>
      </c>
      <c r="V72" s="67" t="b">
        <f t="shared" si="21"/>
        <v>0</v>
      </c>
      <c r="W72" s="67" t="b">
        <f t="shared" si="38"/>
        <v>0</v>
      </c>
      <c r="X72" s="67">
        <f t="shared" si="26"/>
        <v>0</v>
      </c>
      <c r="Y72" s="67">
        <f t="shared" si="27"/>
        <v>0</v>
      </c>
      <c r="Z72" s="67">
        <f t="shared" si="28"/>
        <v>0</v>
      </c>
      <c r="AA72" s="67">
        <f t="shared" si="29"/>
        <v>0</v>
      </c>
      <c r="AB72" s="67"/>
      <c r="AC72" s="67"/>
    </row>
    <row r="73" spans="2:29" s="66" customFormat="1" ht="20.100000000000001" customHeight="1" x14ac:dyDescent="0.25">
      <c r="B73" s="66">
        <f t="shared" si="22"/>
        <v>45</v>
      </c>
      <c r="C73" s="66" t="str">
        <f t="shared" si="33"/>
        <v/>
      </c>
      <c r="D73" s="67">
        <f t="shared" si="34"/>
        <v>0</v>
      </c>
      <c r="E73" s="67">
        <f t="shared" si="35"/>
        <v>0</v>
      </c>
      <c r="F73" s="67">
        <f t="shared" si="30"/>
        <v>0</v>
      </c>
      <c r="G73" s="67">
        <f t="shared" si="31"/>
        <v>0</v>
      </c>
      <c r="H73" s="67">
        <f t="shared" si="25"/>
        <v>0</v>
      </c>
      <c r="I73" s="67">
        <f t="shared" si="36"/>
        <v>0</v>
      </c>
      <c r="J73" s="67">
        <f t="shared" si="13"/>
        <v>5000</v>
      </c>
      <c r="K73" s="67">
        <f t="shared" si="14"/>
        <v>0</v>
      </c>
      <c r="L73" s="67">
        <f t="shared" si="15"/>
        <v>0</v>
      </c>
      <c r="M73" s="67">
        <f t="shared" si="16"/>
        <v>0</v>
      </c>
      <c r="N73" s="67">
        <f t="shared" si="32"/>
        <v>5000</v>
      </c>
      <c r="O73" s="67">
        <f t="shared" si="37"/>
        <v>0</v>
      </c>
      <c r="P73" s="67">
        <f t="shared" si="23"/>
        <v>250000</v>
      </c>
      <c r="Q73" s="67">
        <f t="shared" si="24"/>
        <v>0</v>
      </c>
      <c r="R73" s="67">
        <f t="shared" si="18"/>
        <v>-5000</v>
      </c>
      <c r="S73" s="67">
        <f t="shared" si="19"/>
        <v>0</v>
      </c>
      <c r="T73" s="67"/>
      <c r="U73" s="67">
        <f t="shared" si="20"/>
        <v>5000</v>
      </c>
      <c r="V73" s="67" t="b">
        <f t="shared" si="21"/>
        <v>0</v>
      </c>
      <c r="W73" s="67" t="b">
        <f t="shared" si="38"/>
        <v>0</v>
      </c>
      <c r="X73" s="67">
        <f t="shared" si="26"/>
        <v>0</v>
      </c>
      <c r="Y73" s="67">
        <f t="shared" si="27"/>
        <v>0</v>
      </c>
      <c r="Z73" s="67">
        <f t="shared" si="28"/>
        <v>0</v>
      </c>
      <c r="AA73" s="67">
        <f t="shared" si="29"/>
        <v>0</v>
      </c>
      <c r="AB73" s="67"/>
      <c r="AC73" s="67"/>
    </row>
    <row r="74" spans="2:29" s="66" customFormat="1" ht="20.100000000000001" customHeight="1" x14ac:dyDescent="0.25">
      <c r="B74" s="66">
        <f t="shared" si="22"/>
        <v>46</v>
      </c>
      <c r="C74" s="66" t="str">
        <f t="shared" si="33"/>
        <v/>
      </c>
      <c r="D74" s="67">
        <f t="shared" si="34"/>
        <v>0</v>
      </c>
      <c r="E74" s="67">
        <f t="shared" si="35"/>
        <v>0</v>
      </c>
      <c r="F74" s="67">
        <f t="shared" si="30"/>
        <v>0</v>
      </c>
      <c r="G74" s="67">
        <f t="shared" si="31"/>
        <v>0</v>
      </c>
      <c r="H74" s="67">
        <f t="shared" si="25"/>
        <v>0</v>
      </c>
      <c r="I74" s="67">
        <f t="shared" si="36"/>
        <v>0</v>
      </c>
      <c r="J74" s="67">
        <f t="shared" si="13"/>
        <v>5000</v>
      </c>
      <c r="K74" s="67">
        <f t="shared" si="14"/>
        <v>0</v>
      </c>
      <c r="L74" s="67">
        <f t="shared" si="15"/>
        <v>0</v>
      </c>
      <c r="M74" s="67">
        <f t="shared" si="16"/>
        <v>0</v>
      </c>
      <c r="N74" s="67">
        <f t="shared" si="32"/>
        <v>5000</v>
      </c>
      <c r="O74" s="67">
        <f t="shared" si="37"/>
        <v>0</v>
      </c>
      <c r="P74" s="67">
        <f t="shared" si="23"/>
        <v>245000</v>
      </c>
      <c r="Q74" s="67">
        <f t="shared" si="24"/>
        <v>0</v>
      </c>
      <c r="R74" s="67">
        <f t="shared" si="18"/>
        <v>-5000</v>
      </c>
      <c r="S74" s="67">
        <f t="shared" si="19"/>
        <v>0</v>
      </c>
      <c r="T74" s="67"/>
      <c r="U74" s="67">
        <f t="shared" si="20"/>
        <v>5000</v>
      </c>
      <c r="V74" s="67" t="b">
        <f t="shared" si="21"/>
        <v>0</v>
      </c>
      <c r="W74" s="67" t="b">
        <f t="shared" si="38"/>
        <v>0</v>
      </c>
      <c r="X74" s="67">
        <f t="shared" si="26"/>
        <v>0</v>
      </c>
      <c r="Y74" s="67">
        <f t="shared" si="27"/>
        <v>0</v>
      </c>
      <c r="Z74" s="67">
        <f t="shared" si="28"/>
        <v>0</v>
      </c>
      <c r="AA74" s="67">
        <f t="shared" si="29"/>
        <v>0</v>
      </c>
      <c r="AB74" s="67"/>
      <c r="AC74" s="67"/>
    </row>
    <row r="75" spans="2:29" s="66" customFormat="1" ht="20.100000000000001" customHeight="1" x14ac:dyDescent="0.25">
      <c r="B75" s="66">
        <f t="shared" si="22"/>
        <v>47</v>
      </c>
      <c r="C75" s="66" t="str">
        <f t="shared" si="33"/>
        <v/>
      </c>
      <c r="D75" s="67">
        <f t="shared" si="34"/>
        <v>0</v>
      </c>
      <c r="E75" s="67">
        <f t="shared" si="35"/>
        <v>0</v>
      </c>
      <c r="F75" s="67">
        <f t="shared" si="30"/>
        <v>0</v>
      </c>
      <c r="G75" s="67">
        <f t="shared" si="31"/>
        <v>0</v>
      </c>
      <c r="H75" s="67">
        <f t="shared" si="25"/>
        <v>0</v>
      </c>
      <c r="I75" s="67">
        <f t="shared" si="36"/>
        <v>0</v>
      </c>
      <c r="J75" s="67">
        <f t="shared" si="13"/>
        <v>5000</v>
      </c>
      <c r="K75" s="67">
        <f t="shared" si="14"/>
        <v>0</v>
      </c>
      <c r="L75" s="67">
        <f t="shared" si="15"/>
        <v>0</v>
      </c>
      <c r="M75" s="67">
        <f t="shared" si="16"/>
        <v>0</v>
      </c>
      <c r="N75" s="67">
        <f t="shared" si="32"/>
        <v>5000</v>
      </c>
      <c r="O75" s="67">
        <f t="shared" si="37"/>
        <v>0</v>
      </c>
      <c r="P75" s="67">
        <f t="shared" si="23"/>
        <v>240000</v>
      </c>
      <c r="Q75" s="67">
        <f t="shared" si="24"/>
        <v>0</v>
      </c>
      <c r="R75" s="67">
        <f t="shared" si="18"/>
        <v>-5000</v>
      </c>
      <c r="S75" s="67">
        <f t="shared" si="19"/>
        <v>0</v>
      </c>
      <c r="T75" s="67"/>
      <c r="U75" s="67">
        <f t="shared" si="20"/>
        <v>5000</v>
      </c>
      <c r="V75" s="67" t="b">
        <f t="shared" si="21"/>
        <v>0</v>
      </c>
      <c r="W75" s="67" t="b">
        <f t="shared" si="38"/>
        <v>0</v>
      </c>
      <c r="X75" s="67">
        <f t="shared" si="26"/>
        <v>0</v>
      </c>
      <c r="Y75" s="67">
        <f t="shared" si="27"/>
        <v>0</v>
      </c>
      <c r="Z75" s="67">
        <f t="shared" si="28"/>
        <v>0</v>
      </c>
      <c r="AA75" s="67">
        <f t="shared" si="29"/>
        <v>0</v>
      </c>
      <c r="AB75" s="67"/>
      <c r="AC75" s="67"/>
    </row>
    <row r="76" spans="2:29" s="66" customFormat="1" ht="20.100000000000001" customHeight="1" x14ac:dyDescent="0.25">
      <c r="B76" s="66">
        <f t="shared" si="22"/>
        <v>48</v>
      </c>
      <c r="C76" s="66" t="str">
        <f t="shared" si="33"/>
        <v/>
      </c>
      <c r="D76" s="67">
        <f t="shared" si="34"/>
        <v>0</v>
      </c>
      <c r="E76" s="67">
        <f t="shared" si="35"/>
        <v>0</v>
      </c>
      <c r="F76" s="67">
        <f t="shared" si="30"/>
        <v>0</v>
      </c>
      <c r="G76" s="67">
        <f t="shared" si="31"/>
        <v>0</v>
      </c>
      <c r="H76" s="67">
        <f t="shared" si="25"/>
        <v>0</v>
      </c>
      <c r="I76" s="67">
        <f t="shared" si="36"/>
        <v>0</v>
      </c>
      <c r="J76" s="67">
        <f t="shared" si="13"/>
        <v>5000</v>
      </c>
      <c r="K76" s="67">
        <f t="shared" si="14"/>
        <v>0</v>
      </c>
      <c r="L76" s="67">
        <f t="shared" si="15"/>
        <v>0</v>
      </c>
      <c r="M76" s="67">
        <f t="shared" si="16"/>
        <v>0</v>
      </c>
      <c r="N76" s="67">
        <f t="shared" si="32"/>
        <v>5000</v>
      </c>
      <c r="O76" s="67">
        <f t="shared" si="37"/>
        <v>0</v>
      </c>
      <c r="P76" s="67">
        <f t="shared" si="23"/>
        <v>235000</v>
      </c>
      <c r="Q76" s="67">
        <f t="shared" si="24"/>
        <v>0</v>
      </c>
      <c r="R76" s="67">
        <f t="shared" si="18"/>
        <v>-5000</v>
      </c>
      <c r="S76" s="67">
        <f t="shared" si="19"/>
        <v>0</v>
      </c>
      <c r="T76" s="67"/>
      <c r="U76" s="67">
        <f t="shared" si="20"/>
        <v>5000</v>
      </c>
      <c r="V76" s="67" t="b">
        <f t="shared" si="21"/>
        <v>0</v>
      </c>
      <c r="W76" s="67" t="b">
        <f t="shared" si="38"/>
        <v>0</v>
      </c>
      <c r="X76" s="67">
        <f t="shared" si="26"/>
        <v>0</v>
      </c>
      <c r="Y76" s="67">
        <f t="shared" si="27"/>
        <v>0</v>
      </c>
      <c r="Z76" s="67">
        <f t="shared" si="28"/>
        <v>0</v>
      </c>
      <c r="AA76" s="67">
        <f t="shared" si="29"/>
        <v>0</v>
      </c>
      <c r="AB76" s="67"/>
      <c r="AC76" s="67"/>
    </row>
    <row r="77" spans="2:29" s="66" customFormat="1" ht="20.100000000000001" customHeight="1" x14ac:dyDescent="0.25">
      <c r="B77" s="66">
        <f t="shared" si="22"/>
        <v>49</v>
      </c>
      <c r="C77" s="66" t="str">
        <f t="shared" si="33"/>
        <v/>
      </c>
      <c r="D77" s="67">
        <f t="shared" si="34"/>
        <v>0</v>
      </c>
      <c r="E77" s="67">
        <f t="shared" si="35"/>
        <v>0</v>
      </c>
      <c r="F77" s="67">
        <f t="shared" si="30"/>
        <v>0</v>
      </c>
      <c r="G77" s="67">
        <f t="shared" si="31"/>
        <v>0</v>
      </c>
      <c r="H77" s="67">
        <f t="shared" si="25"/>
        <v>0</v>
      </c>
      <c r="I77" s="67">
        <f t="shared" si="36"/>
        <v>0</v>
      </c>
      <c r="J77" s="67">
        <f t="shared" si="13"/>
        <v>5000</v>
      </c>
      <c r="K77" s="67">
        <f t="shared" si="14"/>
        <v>0</v>
      </c>
      <c r="L77" s="67">
        <f t="shared" si="15"/>
        <v>0</v>
      </c>
      <c r="M77" s="67">
        <f t="shared" si="16"/>
        <v>0</v>
      </c>
      <c r="N77" s="67">
        <f t="shared" si="32"/>
        <v>5000</v>
      </c>
      <c r="O77" s="67">
        <f t="shared" si="37"/>
        <v>0</v>
      </c>
      <c r="P77" s="67">
        <f t="shared" si="23"/>
        <v>230000</v>
      </c>
      <c r="Q77" s="67">
        <f t="shared" si="24"/>
        <v>0</v>
      </c>
      <c r="R77" s="67">
        <f t="shared" si="18"/>
        <v>-5000</v>
      </c>
      <c r="S77" s="67">
        <f t="shared" si="19"/>
        <v>0</v>
      </c>
      <c r="T77" s="67"/>
      <c r="U77" s="67">
        <f t="shared" si="20"/>
        <v>5000</v>
      </c>
      <c r="V77" s="67" t="b">
        <f t="shared" si="21"/>
        <v>0</v>
      </c>
      <c r="W77" s="67" t="b">
        <f t="shared" si="38"/>
        <v>0</v>
      </c>
      <c r="X77" s="67">
        <f t="shared" si="26"/>
        <v>0</v>
      </c>
      <c r="Y77" s="67">
        <f t="shared" si="27"/>
        <v>0</v>
      </c>
      <c r="Z77" s="67">
        <f t="shared" si="28"/>
        <v>0</v>
      </c>
      <c r="AA77" s="67">
        <f t="shared" si="29"/>
        <v>0</v>
      </c>
      <c r="AB77" s="67"/>
      <c r="AC77" s="67"/>
    </row>
    <row r="78" spans="2:29" s="66" customFormat="1" ht="20.100000000000001" customHeight="1" x14ac:dyDescent="0.25">
      <c r="B78" s="66">
        <f t="shared" si="22"/>
        <v>50</v>
      </c>
      <c r="C78" s="66" t="str">
        <f t="shared" si="33"/>
        <v/>
      </c>
      <c r="D78" s="67">
        <f t="shared" si="34"/>
        <v>0</v>
      </c>
      <c r="E78" s="67">
        <f t="shared" si="35"/>
        <v>0</v>
      </c>
      <c r="F78" s="67">
        <f t="shared" si="30"/>
        <v>0</v>
      </c>
      <c r="G78" s="67">
        <f t="shared" si="31"/>
        <v>0</v>
      </c>
      <c r="H78" s="67">
        <f t="shared" si="25"/>
        <v>0</v>
      </c>
      <c r="I78" s="67">
        <f t="shared" si="36"/>
        <v>0</v>
      </c>
      <c r="J78" s="67">
        <f t="shared" si="13"/>
        <v>5000</v>
      </c>
      <c r="K78" s="67">
        <f t="shared" si="14"/>
        <v>0</v>
      </c>
      <c r="L78" s="67">
        <f t="shared" si="15"/>
        <v>0</v>
      </c>
      <c r="M78" s="67">
        <f t="shared" si="16"/>
        <v>0</v>
      </c>
      <c r="N78" s="67">
        <f t="shared" si="32"/>
        <v>5000</v>
      </c>
      <c r="O78" s="67">
        <f t="shared" si="37"/>
        <v>0</v>
      </c>
      <c r="P78" s="67">
        <f t="shared" si="23"/>
        <v>225000</v>
      </c>
      <c r="Q78" s="67">
        <f t="shared" si="24"/>
        <v>0</v>
      </c>
      <c r="R78" s="67">
        <f t="shared" si="18"/>
        <v>-5000</v>
      </c>
      <c r="S78" s="67">
        <f t="shared" si="19"/>
        <v>0</v>
      </c>
      <c r="T78" s="67"/>
      <c r="U78" s="67">
        <f t="shared" si="20"/>
        <v>5000</v>
      </c>
      <c r="V78" s="67" t="b">
        <f t="shared" si="21"/>
        <v>0</v>
      </c>
      <c r="W78" s="67" t="b">
        <f t="shared" si="38"/>
        <v>0</v>
      </c>
      <c r="X78" s="67">
        <f t="shared" si="26"/>
        <v>0</v>
      </c>
      <c r="Y78" s="67">
        <f t="shared" si="27"/>
        <v>0</v>
      </c>
      <c r="Z78" s="67">
        <f t="shared" si="28"/>
        <v>0</v>
      </c>
      <c r="AA78" s="67">
        <f t="shared" si="29"/>
        <v>0</v>
      </c>
      <c r="AB78" s="67"/>
      <c r="AC78" s="67"/>
    </row>
    <row r="79" spans="2:29" s="66" customFormat="1" ht="20.100000000000001" customHeight="1" x14ac:dyDescent="0.25"/>
    <row r="80" spans="2:29" s="66" customFormat="1" ht="20.100000000000001" customHeight="1" x14ac:dyDescent="0.25"/>
    <row r="81" spans="3:15" s="66" customFormat="1" ht="20.100000000000001" customHeight="1" x14ac:dyDescent="0.25">
      <c r="C81" s="68" t="s">
        <v>36</v>
      </c>
      <c r="D81" s="68"/>
      <c r="E81" s="68"/>
      <c r="F81" s="69"/>
      <c r="G81" s="70">
        <f>SUM(G28:G78)</f>
        <v>108735.33749999999</v>
      </c>
      <c r="H81" s="70">
        <f>SUM(H28:H78)</f>
        <v>17100</v>
      </c>
      <c r="I81" s="69"/>
    </row>
    <row r="82" spans="3:15" s="66" customFormat="1" ht="20.100000000000001" customHeight="1" x14ac:dyDescent="0.25"/>
    <row r="83" spans="3:15" s="66" customFormat="1" ht="20.100000000000001" customHeight="1" x14ac:dyDescent="0.25">
      <c r="D83" s="69"/>
      <c r="E83" s="69">
        <f>MIN(E28:E78)</f>
        <v>0</v>
      </c>
    </row>
    <row r="84" spans="3:15" s="74" customFormat="1" ht="20.100000000000001" customHeight="1" x14ac:dyDescent="0.25">
      <c r="N84" s="66"/>
      <c r="O84" s="66"/>
    </row>
    <row r="85" spans="3:15" s="74" customFormat="1" ht="20.100000000000001" customHeight="1" x14ac:dyDescent="0.25">
      <c r="N85" s="66"/>
      <c r="O85" s="66"/>
    </row>
    <row r="86" spans="3:15" s="74" customFormat="1" ht="20.100000000000001" customHeight="1" x14ac:dyDescent="0.25">
      <c r="N86" s="66"/>
      <c r="O86" s="66"/>
    </row>
    <row r="87" spans="3:15" s="74" customFormat="1" ht="20.100000000000001" customHeight="1" x14ac:dyDescent="0.25">
      <c r="N87" s="66"/>
      <c r="O87" s="66"/>
    </row>
    <row r="88" spans="3:15" s="74" customFormat="1" ht="20.100000000000001" customHeight="1" x14ac:dyDescent="0.25">
      <c r="N88" s="66"/>
      <c r="O88" s="66"/>
    </row>
    <row r="89" spans="3:15" s="74" customFormat="1" ht="20.100000000000001" customHeight="1" x14ac:dyDescent="0.25">
      <c r="N89" s="66"/>
      <c r="O89" s="66"/>
    </row>
    <row r="90" spans="3:15" s="74" customFormat="1" ht="20.100000000000001" customHeight="1" x14ac:dyDescent="0.25">
      <c r="N90" s="66"/>
      <c r="O90" s="66"/>
    </row>
    <row r="91" spans="3:15" s="74" customFormat="1" ht="20.100000000000001" customHeight="1" x14ac:dyDescent="0.25">
      <c r="N91" s="66"/>
      <c r="O91" s="66"/>
    </row>
    <row r="92" spans="3:15" s="74" customFormat="1" ht="20.100000000000001" customHeight="1" x14ac:dyDescent="0.25">
      <c r="N92" s="66"/>
      <c r="O92" s="66"/>
    </row>
    <row r="93" spans="3:15" s="74" customFormat="1" ht="20.100000000000001" customHeight="1" x14ac:dyDescent="0.25">
      <c r="N93" s="66"/>
      <c r="O93" s="66"/>
    </row>
    <row r="94" spans="3:15" s="74" customFormat="1" ht="20.100000000000001" customHeight="1" x14ac:dyDescent="0.25">
      <c r="N94" s="66"/>
      <c r="O94" s="66"/>
    </row>
    <row r="95" spans="3:15" s="74" customFormat="1" ht="20.100000000000001" customHeight="1" x14ac:dyDescent="0.25">
      <c r="N95" s="66"/>
      <c r="O95" s="66"/>
    </row>
    <row r="96" spans="3:15" s="74" customFormat="1" ht="20.100000000000001" customHeight="1" x14ac:dyDescent="0.25">
      <c r="N96" s="66"/>
      <c r="O96" s="66"/>
    </row>
    <row r="97" spans="14:15" s="74" customFormat="1" ht="20.100000000000001" customHeight="1" x14ac:dyDescent="0.25">
      <c r="N97" s="66"/>
      <c r="O97" s="66"/>
    </row>
    <row r="98" spans="14:15" s="74" customFormat="1" ht="20.100000000000001" customHeight="1" x14ac:dyDescent="0.25">
      <c r="N98" s="66"/>
      <c r="O98" s="66"/>
    </row>
    <row r="99" spans="14:15" s="74" customFormat="1" ht="20.100000000000001" customHeight="1" x14ac:dyDescent="0.25">
      <c r="N99" s="66"/>
      <c r="O99" s="66"/>
    </row>
    <row r="100" spans="14:15" s="74" customFormat="1" ht="20.100000000000001" customHeight="1" x14ac:dyDescent="0.25">
      <c r="N100" s="66"/>
      <c r="O100" s="66"/>
    </row>
    <row r="101" spans="14:15" s="74" customFormat="1" ht="20.100000000000001" customHeight="1" x14ac:dyDescent="0.25">
      <c r="N101" s="66"/>
      <c r="O101" s="66"/>
    </row>
    <row r="102" spans="14:15" s="74" customFormat="1" ht="20.100000000000001" customHeight="1" x14ac:dyDescent="0.25">
      <c r="N102" s="66"/>
      <c r="O102" s="66"/>
    </row>
    <row r="103" spans="14:15" s="74" customFormat="1" ht="20.100000000000001" customHeight="1" x14ac:dyDescent="0.25">
      <c r="N103" s="66"/>
      <c r="O103" s="66"/>
    </row>
    <row r="104" spans="14:15" s="74" customFormat="1" ht="20.100000000000001" customHeight="1" x14ac:dyDescent="0.25">
      <c r="N104" s="66"/>
      <c r="O104" s="66"/>
    </row>
    <row r="105" spans="14:15" s="74" customFormat="1" ht="20.100000000000001" customHeight="1" x14ac:dyDescent="0.25">
      <c r="N105" s="66"/>
      <c r="O105" s="66"/>
    </row>
    <row r="106" spans="14:15" s="74" customFormat="1" ht="20.100000000000001" customHeight="1" x14ac:dyDescent="0.25">
      <c r="N106" s="66"/>
      <c r="O106" s="66"/>
    </row>
    <row r="107" spans="14:15" s="74" customFormat="1" ht="20.100000000000001" customHeight="1" x14ac:dyDescent="0.25">
      <c r="N107" s="66"/>
      <c r="O107" s="66"/>
    </row>
    <row r="108" spans="14:15" s="74" customFormat="1" ht="20.100000000000001" customHeight="1" x14ac:dyDescent="0.25">
      <c r="N108" s="66"/>
      <c r="O108" s="66"/>
    </row>
    <row r="109" spans="14:15" s="74" customFormat="1" ht="20.100000000000001" customHeight="1" x14ac:dyDescent="0.25">
      <c r="N109" s="66"/>
      <c r="O109" s="66"/>
    </row>
    <row r="110" spans="14:15" s="74" customFormat="1" ht="20.100000000000001" customHeight="1" x14ac:dyDescent="0.25">
      <c r="N110" s="66"/>
      <c r="O110" s="66"/>
    </row>
    <row r="111" spans="14:15" s="74" customFormat="1" ht="20.100000000000001" customHeight="1" x14ac:dyDescent="0.25">
      <c r="N111" s="66"/>
      <c r="O111" s="66"/>
    </row>
    <row r="112" spans="14:15" s="74" customFormat="1" ht="20.100000000000001" customHeight="1" x14ac:dyDescent="0.25">
      <c r="N112" s="66"/>
      <c r="O112" s="66"/>
    </row>
    <row r="113" spans="14:15" s="74" customFormat="1" ht="20.100000000000001" customHeight="1" x14ac:dyDescent="0.25">
      <c r="N113" s="66"/>
      <c r="O113" s="66"/>
    </row>
    <row r="114" spans="14:15" s="74" customFormat="1" ht="20.100000000000001" customHeight="1" x14ac:dyDescent="0.25">
      <c r="N114" s="66"/>
      <c r="O114" s="66"/>
    </row>
    <row r="115" spans="14:15" s="74" customFormat="1" ht="20.100000000000001" customHeight="1" x14ac:dyDescent="0.25">
      <c r="N115" s="66"/>
      <c r="O115" s="66"/>
    </row>
    <row r="116" spans="14:15" s="74" customFormat="1" ht="20.100000000000001" customHeight="1" x14ac:dyDescent="0.25">
      <c r="N116" s="66"/>
      <c r="O116" s="66"/>
    </row>
    <row r="117" spans="14:15" s="74" customFormat="1" ht="20.100000000000001" customHeight="1" x14ac:dyDescent="0.25">
      <c r="N117" s="66"/>
      <c r="O117" s="66"/>
    </row>
    <row r="118" spans="14:15" s="74" customFormat="1" ht="20.100000000000001" customHeight="1" x14ac:dyDescent="0.25">
      <c r="N118" s="66"/>
      <c r="O118" s="66"/>
    </row>
    <row r="119" spans="14:15" s="74" customFormat="1" ht="20.100000000000001" customHeight="1" x14ac:dyDescent="0.25">
      <c r="N119" s="66"/>
      <c r="O119" s="66"/>
    </row>
    <row r="120" spans="14:15" s="74" customFormat="1" ht="20.100000000000001" customHeight="1" x14ac:dyDescent="0.25">
      <c r="N120" s="66"/>
      <c r="O120" s="66"/>
    </row>
    <row r="121" spans="14:15" s="74" customFormat="1" ht="20.100000000000001" customHeight="1" x14ac:dyDescent="0.25">
      <c r="N121" s="66"/>
      <c r="O121" s="66"/>
    </row>
    <row r="122" spans="14:15" s="74" customFormat="1" ht="20.100000000000001" customHeight="1" x14ac:dyDescent="0.25">
      <c r="N122" s="66"/>
      <c r="O122" s="66"/>
    </row>
    <row r="123" spans="14:15" s="74" customFormat="1" ht="20.100000000000001" customHeight="1" x14ac:dyDescent="0.25">
      <c r="N123" s="66"/>
      <c r="O123" s="66"/>
    </row>
    <row r="124" spans="14:15" s="74" customFormat="1" ht="20.100000000000001" customHeight="1" x14ac:dyDescent="0.25">
      <c r="N124" s="66"/>
      <c r="O124" s="66"/>
    </row>
    <row r="125" spans="14:15" s="74" customFormat="1" ht="20.100000000000001" customHeight="1" x14ac:dyDescent="0.25">
      <c r="N125" s="66"/>
      <c r="O125" s="66"/>
    </row>
    <row r="126" spans="14:15" s="74" customFormat="1" ht="20.100000000000001" customHeight="1" x14ac:dyDescent="0.25">
      <c r="N126" s="66"/>
      <c r="O126" s="66"/>
    </row>
    <row r="127" spans="14:15" s="74" customFormat="1" ht="20.100000000000001" customHeight="1" x14ac:dyDescent="0.25">
      <c r="N127" s="66"/>
      <c r="O127" s="66"/>
    </row>
    <row r="128" spans="14:15" s="74" customFormat="1" ht="20.100000000000001" customHeight="1" x14ac:dyDescent="0.25">
      <c r="N128" s="66"/>
      <c r="O128" s="66"/>
    </row>
    <row r="129" spans="14:15" s="74" customFormat="1" ht="20.100000000000001" customHeight="1" x14ac:dyDescent="0.25">
      <c r="N129" s="66"/>
      <c r="O129" s="66"/>
    </row>
    <row r="130" spans="14:15" s="74" customFormat="1" ht="20.100000000000001" customHeight="1" x14ac:dyDescent="0.25">
      <c r="N130" s="66"/>
      <c r="O130" s="66"/>
    </row>
    <row r="131" spans="14:15" s="74" customFormat="1" ht="20.100000000000001" customHeight="1" x14ac:dyDescent="0.25">
      <c r="N131" s="66"/>
      <c r="O131" s="66"/>
    </row>
    <row r="132" spans="14:15" s="74" customFormat="1" ht="20.100000000000001" customHeight="1" x14ac:dyDescent="0.25">
      <c r="N132" s="66"/>
      <c r="O132" s="66"/>
    </row>
    <row r="133" spans="14:15" s="74" customFormat="1" ht="20.100000000000001" customHeight="1" x14ac:dyDescent="0.25">
      <c r="N133" s="66"/>
      <c r="O133" s="66"/>
    </row>
    <row r="134" spans="14:15" s="74" customFormat="1" ht="20.100000000000001" customHeight="1" x14ac:dyDescent="0.25">
      <c r="N134" s="66"/>
      <c r="O134" s="66"/>
    </row>
    <row r="135" spans="14:15" s="74" customFormat="1" ht="20.100000000000001" customHeight="1" x14ac:dyDescent="0.25">
      <c r="N135" s="66"/>
      <c r="O135" s="66"/>
    </row>
    <row r="136" spans="14:15" s="74" customFormat="1" ht="20.100000000000001" customHeight="1" x14ac:dyDescent="0.25">
      <c r="N136" s="66"/>
      <c r="O136" s="66"/>
    </row>
    <row r="137" spans="14:15" s="74" customFormat="1" ht="20.100000000000001" customHeight="1" x14ac:dyDescent="0.25">
      <c r="N137" s="66"/>
      <c r="O137" s="66"/>
    </row>
    <row r="138" spans="14:15" s="20" customFormat="1" ht="20.100000000000001" customHeight="1" x14ac:dyDescent="0.25">
      <c r="N138" s="26"/>
      <c r="O138" s="26"/>
    </row>
    <row r="139" spans="14:15" s="20" customFormat="1" ht="20.100000000000001" customHeight="1" x14ac:dyDescent="0.25">
      <c r="N139" s="26"/>
      <c r="O139" s="26"/>
    </row>
    <row r="140" spans="14:15" s="20" customFormat="1" ht="20.100000000000001" customHeight="1" x14ac:dyDescent="0.25">
      <c r="N140" s="26"/>
      <c r="O140" s="26"/>
    </row>
    <row r="141" spans="14:15" s="20" customFormat="1" ht="20.100000000000001" customHeight="1" x14ac:dyDescent="0.25">
      <c r="N141" s="26"/>
      <c r="O141" s="26"/>
    </row>
  </sheetData>
  <sheetProtection sheet="1" objects="1" scenarios="1"/>
  <mergeCells count="6">
    <mergeCell ref="C81:E81"/>
    <mergeCell ref="G7:I7"/>
    <mergeCell ref="E18:E19"/>
    <mergeCell ref="F18:F19"/>
    <mergeCell ref="E20:E21"/>
    <mergeCell ref="F20:F21"/>
  </mergeCells>
  <conditionalFormatting sqref="V68">
    <cfRule type="cellIs" dxfId="0" priority="3" operator="equal">
      <formula>TRUE</formula>
    </cfRule>
  </conditionalFormatting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37"/>
  <sheetViews>
    <sheetView showGridLines="0" topLeftCell="A16" workbookViewId="0">
      <selection activeCell="N27" sqref="N27"/>
    </sheetView>
  </sheetViews>
  <sheetFormatPr baseColWidth="10" defaultRowHeight="15" x14ac:dyDescent="0.25"/>
  <cols>
    <col min="1" max="1" width="0.85546875" style="1" customWidth="1"/>
    <col min="2" max="3" width="18.140625" style="1" customWidth="1"/>
    <col min="4" max="16384" width="11.42578125" style="1"/>
  </cols>
  <sheetData>
    <row r="1" spans="2:56" ht="4.5" customHeight="1" thickBot="1" x14ac:dyDescent="0.3"/>
    <row r="2" spans="2:56" ht="24.95" customHeight="1" x14ac:dyDescent="0.25">
      <c r="B2" s="40" t="s">
        <v>46</v>
      </c>
      <c r="C2" s="43">
        <f>Val_Gage</f>
        <v>600000</v>
      </c>
    </row>
    <row r="3" spans="2:56" ht="24.95" customHeight="1" x14ac:dyDescent="0.25">
      <c r="B3" s="41" t="s">
        <v>1</v>
      </c>
      <c r="C3" s="44">
        <f>F_Propres</f>
        <v>120000</v>
      </c>
    </row>
    <row r="4" spans="2:56" ht="24.95" customHeight="1" x14ac:dyDescent="0.25">
      <c r="B4" s="41" t="s">
        <v>47</v>
      </c>
      <c r="C4" s="44">
        <f>Hypo1_Initial</f>
        <v>390000</v>
      </c>
    </row>
    <row r="5" spans="2:56" ht="24.95" customHeight="1" thickBot="1" x14ac:dyDescent="0.3">
      <c r="B5" s="42" t="s">
        <v>48</v>
      </c>
      <c r="C5" s="45">
        <f>Hypo2_Initial</f>
        <v>90000</v>
      </c>
      <c r="D5" s="57">
        <f>+$C$2</f>
        <v>600000</v>
      </c>
      <c r="E5" s="57">
        <f t="shared" ref="E5:BB5" si="0">+$C$2</f>
        <v>600000</v>
      </c>
      <c r="F5" s="57">
        <f t="shared" si="0"/>
        <v>600000</v>
      </c>
      <c r="G5" s="57">
        <f t="shared" si="0"/>
        <v>600000</v>
      </c>
      <c r="H5" s="57">
        <f t="shared" si="0"/>
        <v>600000</v>
      </c>
      <c r="I5" s="57">
        <f t="shared" si="0"/>
        <v>600000</v>
      </c>
      <c r="J5" s="57">
        <f t="shared" si="0"/>
        <v>600000</v>
      </c>
      <c r="K5" s="57">
        <f t="shared" si="0"/>
        <v>600000</v>
      </c>
      <c r="L5" s="57">
        <f t="shared" si="0"/>
        <v>600000</v>
      </c>
      <c r="M5" s="57">
        <f t="shared" si="0"/>
        <v>600000</v>
      </c>
      <c r="N5" s="57">
        <f t="shared" si="0"/>
        <v>600000</v>
      </c>
      <c r="O5" s="57">
        <f t="shared" si="0"/>
        <v>600000</v>
      </c>
      <c r="P5" s="57">
        <f t="shared" si="0"/>
        <v>600000</v>
      </c>
      <c r="Q5" s="57">
        <f t="shared" si="0"/>
        <v>600000</v>
      </c>
      <c r="R5" s="57">
        <f t="shared" si="0"/>
        <v>600000</v>
      </c>
      <c r="S5" s="57">
        <f t="shared" si="0"/>
        <v>600000</v>
      </c>
      <c r="T5" s="57">
        <f t="shared" si="0"/>
        <v>600000</v>
      </c>
      <c r="U5" s="57">
        <f t="shared" si="0"/>
        <v>600000</v>
      </c>
      <c r="V5" s="57">
        <f t="shared" si="0"/>
        <v>600000</v>
      </c>
      <c r="W5" s="57">
        <f t="shared" si="0"/>
        <v>600000</v>
      </c>
      <c r="X5" s="57">
        <f t="shared" si="0"/>
        <v>600000</v>
      </c>
      <c r="Y5" s="57">
        <f t="shared" si="0"/>
        <v>600000</v>
      </c>
      <c r="Z5" s="57">
        <f t="shared" si="0"/>
        <v>600000</v>
      </c>
      <c r="AA5" s="57">
        <f t="shared" si="0"/>
        <v>600000</v>
      </c>
      <c r="AB5" s="57">
        <f t="shared" si="0"/>
        <v>600000</v>
      </c>
      <c r="AC5" s="57">
        <f t="shared" si="0"/>
        <v>600000</v>
      </c>
      <c r="AD5" s="57">
        <f t="shared" si="0"/>
        <v>600000</v>
      </c>
      <c r="AE5" s="57">
        <f t="shared" si="0"/>
        <v>600000</v>
      </c>
      <c r="AF5" s="57">
        <f t="shared" si="0"/>
        <v>600000</v>
      </c>
      <c r="AG5" s="57">
        <f t="shared" si="0"/>
        <v>600000</v>
      </c>
      <c r="AH5" s="57">
        <f t="shared" si="0"/>
        <v>600000</v>
      </c>
      <c r="AI5" s="57">
        <f t="shared" si="0"/>
        <v>600000</v>
      </c>
      <c r="AJ5" s="57">
        <f t="shared" si="0"/>
        <v>600000</v>
      </c>
      <c r="AK5" s="57">
        <f t="shared" si="0"/>
        <v>600000</v>
      </c>
      <c r="AL5" s="57">
        <f t="shared" si="0"/>
        <v>600000</v>
      </c>
      <c r="AM5" s="57">
        <f t="shared" si="0"/>
        <v>600000</v>
      </c>
      <c r="AN5" s="57">
        <f t="shared" si="0"/>
        <v>600000</v>
      </c>
      <c r="AO5" s="57">
        <f t="shared" si="0"/>
        <v>600000</v>
      </c>
      <c r="AP5" s="57">
        <f t="shared" si="0"/>
        <v>600000</v>
      </c>
      <c r="AQ5" s="57">
        <f t="shared" si="0"/>
        <v>600000</v>
      </c>
      <c r="AR5" s="57">
        <f t="shared" si="0"/>
        <v>600000</v>
      </c>
      <c r="AS5" s="57">
        <f t="shared" si="0"/>
        <v>600000</v>
      </c>
      <c r="AT5" s="57">
        <f t="shared" si="0"/>
        <v>600000</v>
      </c>
      <c r="AU5" s="57">
        <f t="shared" si="0"/>
        <v>600000</v>
      </c>
      <c r="AV5" s="57">
        <f t="shared" si="0"/>
        <v>600000</v>
      </c>
      <c r="AW5" s="57">
        <f t="shared" si="0"/>
        <v>600000</v>
      </c>
      <c r="AX5" s="57">
        <f t="shared" si="0"/>
        <v>600000</v>
      </c>
      <c r="AY5" s="57">
        <f t="shared" si="0"/>
        <v>600000</v>
      </c>
      <c r="AZ5" s="57">
        <f t="shared" si="0"/>
        <v>600000</v>
      </c>
      <c r="BA5" s="57">
        <f t="shared" si="0"/>
        <v>600000</v>
      </c>
      <c r="BB5" s="57">
        <f t="shared" si="0"/>
        <v>600000</v>
      </c>
      <c r="BC5" s="58"/>
      <c r="BD5" s="58"/>
    </row>
    <row r="6" spans="2:56" s="19" customFormat="1" ht="0.95" customHeight="1" x14ac:dyDescent="0.25">
      <c r="D6" s="51">
        <v>0</v>
      </c>
      <c r="E6" s="51">
        <v>1</v>
      </c>
      <c r="F6" s="51">
        <v>2</v>
      </c>
      <c r="G6" s="51">
        <v>3</v>
      </c>
      <c r="H6" s="51">
        <v>4</v>
      </c>
      <c r="I6" s="51">
        <v>5</v>
      </c>
      <c r="J6" s="51">
        <v>6</v>
      </c>
      <c r="K6" s="51">
        <v>7</v>
      </c>
      <c r="L6" s="51">
        <v>8</v>
      </c>
      <c r="M6" s="51">
        <v>9</v>
      </c>
      <c r="N6" s="51">
        <v>10</v>
      </c>
      <c r="O6" s="51">
        <v>11</v>
      </c>
      <c r="P6" s="51">
        <v>12</v>
      </c>
      <c r="Q6" s="51">
        <v>13</v>
      </c>
      <c r="R6" s="51">
        <v>14</v>
      </c>
      <c r="S6" s="51">
        <v>15</v>
      </c>
      <c r="T6" s="51">
        <v>16</v>
      </c>
      <c r="U6" s="51">
        <v>17</v>
      </c>
      <c r="V6" s="51">
        <v>18</v>
      </c>
      <c r="W6" s="51">
        <v>19</v>
      </c>
      <c r="X6" s="51">
        <v>20</v>
      </c>
      <c r="Y6" s="51">
        <v>21</v>
      </c>
      <c r="Z6" s="51">
        <v>22</v>
      </c>
      <c r="AA6" s="51">
        <v>23</v>
      </c>
      <c r="AB6" s="51">
        <v>24</v>
      </c>
      <c r="AC6" s="51">
        <v>25</v>
      </c>
      <c r="AD6" s="51">
        <v>26</v>
      </c>
      <c r="AE6" s="51">
        <v>27</v>
      </c>
      <c r="AF6" s="51">
        <v>28</v>
      </c>
      <c r="AG6" s="51">
        <v>29</v>
      </c>
      <c r="AH6" s="51">
        <v>30</v>
      </c>
      <c r="AI6" s="51">
        <v>31</v>
      </c>
      <c r="AJ6" s="51">
        <v>32</v>
      </c>
      <c r="AK6" s="51">
        <v>33</v>
      </c>
      <c r="AL6" s="51">
        <v>34</v>
      </c>
      <c r="AM6" s="51">
        <v>35</v>
      </c>
      <c r="AN6" s="51">
        <v>36</v>
      </c>
      <c r="AO6" s="51">
        <v>37</v>
      </c>
      <c r="AP6" s="51">
        <v>38</v>
      </c>
      <c r="AQ6" s="51">
        <v>39</v>
      </c>
      <c r="AR6" s="51">
        <v>40</v>
      </c>
      <c r="AS6" s="51">
        <v>41</v>
      </c>
      <c r="AT6" s="51">
        <v>42</v>
      </c>
      <c r="AU6" s="51">
        <v>43</v>
      </c>
      <c r="AV6" s="51">
        <v>44</v>
      </c>
      <c r="AW6" s="51">
        <v>45</v>
      </c>
      <c r="AX6" s="51">
        <v>46</v>
      </c>
      <c r="AY6" s="51">
        <v>47</v>
      </c>
      <c r="AZ6" s="51">
        <v>48</v>
      </c>
      <c r="BA6" s="51">
        <v>49</v>
      </c>
      <c r="BB6" s="51">
        <v>50</v>
      </c>
    </row>
    <row r="7" spans="2:56" ht="0.95" customHeight="1" x14ac:dyDescent="0.25">
      <c r="C7" s="54" t="s">
        <v>47</v>
      </c>
      <c r="D7" s="52">
        <f>H1_0</f>
        <v>390000</v>
      </c>
      <c r="E7" s="52">
        <f>H1_1</f>
        <v>390000</v>
      </c>
      <c r="F7" s="52">
        <f>H1_2</f>
        <v>390000</v>
      </c>
      <c r="G7" s="52">
        <f>H1_3</f>
        <v>390000</v>
      </c>
      <c r="H7" s="52">
        <f>H1_4</f>
        <v>390000</v>
      </c>
      <c r="I7" s="52">
        <f>H1_5</f>
        <v>390000</v>
      </c>
      <c r="J7" s="52">
        <f>H1_6</f>
        <v>390000</v>
      </c>
      <c r="K7" s="52">
        <f>H1_7</f>
        <v>390000</v>
      </c>
      <c r="L7" s="52">
        <f>H1_8</f>
        <v>390000</v>
      </c>
      <c r="M7" s="52">
        <f>H1_9</f>
        <v>390000</v>
      </c>
      <c r="N7" s="52">
        <f>H1_10</f>
        <v>390000</v>
      </c>
      <c r="O7" s="52">
        <f>H1_11</f>
        <v>390000</v>
      </c>
      <c r="P7" s="52">
        <f>H1_12</f>
        <v>390000</v>
      </c>
      <c r="Q7" s="52">
        <f>H1_13</f>
        <v>390000</v>
      </c>
      <c r="R7" s="52">
        <f>H1_14</f>
        <v>390000</v>
      </c>
      <c r="S7" s="52">
        <f>H1_15</f>
        <v>390000</v>
      </c>
      <c r="T7" s="52">
        <f>H1_16</f>
        <v>390000</v>
      </c>
      <c r="U7" s="52">
        <f>H1_17</f>
        <v>390000</v>
      </c>
      <c r="V7" s="52">
        <f>H1_18</f>
        <v>390000</v>
      </c>
      <c r="W7" s="52">
        <f>H1_19</f>
        <v>385000</v>
      </c>
      <c r="X7" s="52">
        <f>H1_20</f>
        <v>380000</v>
      </c>
      <c r="Y7" s="52">
        <f>H1_21</f>
        <v>375000</v>
      </c>
      <c r="Z7" s="52">
        <f>H1_22</f>
        <v>370000</v>
      </c>
      <c r="AA7" s="52">
        <f>H1_23</f>
        <v>365000</v>
      </c>
      <c r="AB7" s="52">
        <f>H1_24</f>
        <v>360000</v>
      </c>
      <c r="AC7" s="52">
        <f>H1_25</f>
        <v>355000</v>
      </c>
      <c r="AD7" s="52">
        <f>H1_26</f>
        <v>350000</v>
      </c>
      <c r="AE7" s="52">
        <f>H1_27</f>
        <v>345000</v>
      </c>
      <c r="AF7" s="52">
        <f>H1_28</f>
        <v>340000</v>
      </c>
      <c r="AG7" s="52">
        <f>H1_29</f>
        <v>335000</v>
      </c>
      <c r="AH7" s="52">
        <f>H1_30</f>
        <v>330000</v>
      </c>
      <c r="AI7" s="52">
        <f>H1_31</f>
        <v>325000</v>
      </c>
      <c r="AJ7" s="52">
        <f>H1_32</f>
        <v>320000</v>
      </c>
      <c r="AK7" s="52">
        <f>H1_33</f>
        <v>315000</v>
      </c>
      <c r="AL7" s="52">
        <f>H1_34</f>
        <v>310000</v>
      </c>
      <c r="AM7" s="52">
        <f>H1_35</f>
        <v>305000</v>
      </c>
      <c r="AN7" s="52">
        <f>H1_36</f>
        <v>300000</v>
      </c>
      <c r="AO7" s="52">
        <f>H1_37</f>
        <v>295000</v>
      </c>
      <c r="AP7" s="52">
        <f>H1_38</f>
        <v>290000</v>
      </c>
      <c r="AQ7" s="52">
        <f>H1_39</f>
        <v>285000</v>
      </c>
      <c r="AR7" s="52">
        <f>H1_40</f>
        <v>53045</v>
      </c>
      <c r="AS7" s="52">
        <f>H1_41</f>
        <v>0</v>
      </c>
      <c r="AT7" s="52">
        <f>H1_42</f>
        <v>0</v>
      </c>
      <c r="AU7" s="52">
        <f>H1_43</f>
        <v>0</v>
      </c>
      <c r="AV7" s="52">
        <f>H1_44</f>
        <v>0</v>
      </c>
      <c r="AW7" s="52">
        <f>H1_45</f>
        <v>0</v>
      </c>
      <c r="AX7" s="52">
        <f>H1_46</f>
        <v>0</v>
      </c>
      <c r="AY7" s="52">
        <f>H1_47</f>
        <v>0</v>
      </c>
      <c r="AZ7" s="52">
        <f>H1_48</f>
        <v>0</v>
      </c>
      <c r="BA7" s="52">
        <f>H1_49</f>
        <v>0</v>
      </c>
      <c r="BB7" s="52">
        <f>H1_50</f>
        <v>0</v>
      </c>
    </row>
    <row r="8" spans="2:56" ht="0.95" customHeight="1" x14ac:dyDescent="0.25">
      <c r="C8" s="54" t="s">
        <v>48</v>
      </c>
      <c r="D8" s="52">
        <f>H2_0</f>
        <v>90000</v>
      </c>
      <c r="E8" s="52">
        <f>H2_1</f>
        <v>85000</v>
      </c>
      <c r="F8" s="52">
        <f>H2_2</f>
        <v>80000</v>
      </c>
      <c r="G8" s="52">
        <f>H2_3</f>
        <v>75000</v>
      </c>
      <c r="H8" s="52">
        <f>H2_4</f>
        <v>70000</v>
      </c>
      <c r="I8" s="52">
        <f>H2_5</f>
        <v>65000</v>
      </c>
      <c r="J8" s="52">
        <f>H2_6</f>
        <v>60000</v>
      </c>
      <c r="K8" s="52">
        <f>H2_7</f>
        <v>55000</v>
      </c>
      <c r="L8" s="52">
        <f>H2_8</f>
        <v>50000</v>
      </c>
      <c r="M8" s="52">
        <f>H2_9</f>
        <v>45000</v>
      </c>
      <c r="N8" s="52">
        <f>H2_10</f>
        <v>40000</v>
      </c>
      <c r="O8" s="52">
        <f>H2_11</f>
        <v>35000</v>
      </c>
      <c r="P8" s="52">
        <f>H2_12</f>
        <v>30000</v>
      </c>
      <c r="Q8" s="52">
        <f>H2_13</f>
        <v>25000</v>
      </c>
      <c r="R8" s="52">
        <f>H2_14</f>
        <v>20000</v>
      </c>
      <c r="S8" s="52">
        <f>H2_15</f>
        <v>15000</v>
      </c>
      <c r="T8" s="52">
        <f>H2_16</f>
        <v>10000</v>
      </c>
      <c r="U8" s="52">
        <f>H2_17</f>
        <v>5000</v>
      </c>
      <c r="V8" s="52">
        <f>H2_18</f>
        <v>0</v>
      </c>
      <c r="W8" s="52">
        <f>H2_19</f>
        <v>0</v>
      </c>
      <c r="X8" s="52">
        <f>H2_20</f>
        <v>0</v>
      </c>
      <c r="Y8" s="52">
        <f>H2_21</f>
        <v>0</v>
      </c>
      <c r="Z8" s="52">
        <f>H2_22</f>
        <v>0</v>
      </c>
      <c r="AA8" s="52">
        <f>H2_23</f>
        <v>0</v>
      </c>
      <c r="AB8" s="52">
        <f>H2_24</f>
        <v>0</v>
      </c>
      <c r="AC8" s="52">
        <f>H2_25</f>
        <v>0</v>
      </c>
      <c r="AD8" s="52">
        <f>H2_26</f>
        <v>0</v>
      </c>
      <c r="AE8" s="52">
        <f>H2_27</f>
        <v>0</v>
      </c>
      <c r="AF8" s="52">
        <f>H2_28</f>
        <v>0</v>
      </c>
      <c r="AG8" s="52">
        <f>H2_29</f>
        <v>0</v>
      </c>
      <c r="AH8" s="52">
        <f>H2_30</f>
        <v>0</v>
      </c>
      <c r="AI8" s="52">
        <f>H2_31</f>
        <v>0</v>
      </c>
      <c r="AJ8" s="52">
        <f>H2_32</f>
        <v>0</v>
      </c>
      <c r="AK8" s="52">
        <f>H2_33</f>
        <v>0</v>
      </c>
      <c r="AL8" s="52">
        <f>H2_34</f>
        <v>0</v>
      </c>
      <c r="AM8" s="52">
        <f>H2_35</f>
        <v>0</v>
      </c>
      <c r="AN8" s="52">
        <f>H2_36</f>
        <v>0</v>
      </c>
      <c r="AO8" s="52">
        <f>H2_37</f>
        <v>0</v>
      </c>
      <c r="AP8" s="52">
        <f>H2_38</f>
        <v>0</v>
      </c>
      <c r="AQ8" s="52">
        <f>H2_39</f>
        <v>0</v>
      </c>
      <c r="AR8" s="52">
        <f>H2_40</f>
        <v>0</v>
      </c>
      <c r="AS8" s="52">
        <f>H2_41</f>
        <v>0</v>
      </c>
      <c r="AT8" s="52">
        <f>H2_42</f>
        <v>0</v>
      </c>
      <c r="AU8" s="52">
        <f>H2_43</f>
        <v>0</v>
      </c>
      <c r="AV8" s="52">
        <f>H2_44</f>
        <v>0</v>
      </c>
      <c r="AW8" s="52">
        <f>H2_45</f>
        <v>0</v>
      </c>
      <c r="AX8" s="52">
        <f>H2_46</f>
        <v>0</v>
      </c>
      <c r="AY8" s="52">
        <f>H2_47</f>
        <v>0</v>
      </c>
      <c r="AZ8" s="52">
        <f>H2_48</f>
        <v>0</v>
      </c>
      <c r="BA8" s="52">
        <f>H2_49</f>
        <v>0</v>
      </c>
      <c r="BB8" s="52">
        <f>H2_50</f>
        <v>0</v>
      </c>
    </row>
    <row r="9" spans="2:56" ht="0.95" customHeight="1" x14ac:dyDescent="0.25">
      <c r="C9" s="54" t="s">
        <v>1</v>
      </c>
      <c r="D9" s="52">
        <f>+D5-D7-D8</f>
        <v>120000</v>
      </c>
      <c r="E9" s="52">
        <f t="shared" ref="E9:BB9" si="1">+E5-E7-E8</f>
        <v>125000</v>
      </c>
      <c r="F9" s="52">
        <f t="shared" si="1"/>
        <v>130000</v>
      </c>
      <c r="G9" s="52">
        <f t="shared" si="1"/>
        <v>135000</v>
      </c>
      <c r="H9" s="52">
        <f t="shared" si="1"/>
        <v>140000</v>
      </c>
      <c r="I9" s="52">
        <f t="shared" si="1"/>
        <v>145000</v>
      </c>
      <c r="J9" s="52">
        <f t="shared" si="1"/>
        <v>150000</v>
      </c>
      <c r="K9" s="52">
        <f t="shared" si="1"/>
        <v>155000</v>
      </c>
      <c r="L9" s="52">
        <f t="shared" si="1"/>
        <v>160000</v>
      </c>
      <c r="M9" s="52">
        <f t="shared" si="1"/>
        <v>165000</v>
      </c>
      <c r="N9" s="52">
        <f t="shared" si="1"/>
        <v>170000</v>
      </c>
      <c r="O9" s="52">
        <f t="shared" si="1"/>
        <v>175000</v>
      </c>
      <c r="P9" s="52">
        <f t="shared" si="1"/>
        <v>180000</v>
      </c>
      <c r="Q9" s="52">
        <f t="shared" si="1"/>
        <v>185000</v>
      </c>
      <c r="R9" s="52">
        <f t="shared" si="1"/>
        <v>190000</v>
      </c>
      <c r="S9" s="52">
        <f t="shared" si="1"/>
        <v>195000</v>
      </c>
      <c r="T9" s="52">
        <f t="shared" si="1"/>
        <v>200000</v>
      </c>
      <c r="U9" s="52">
        <f t="shared" si="1"/>
        <v>205000</v>
      </c>
      <c r="V9" s="52">
        <f t="shared" si="1"/>
        <v>210000</v>
      </c>
      <c r="W9" s="52">
        <f t="shared" si="1"/>
        <v>215000</v>
      </c>
      <c r="X9" s="52">
        <f t="shared" si="1"/>
        <v>220000</v>
      </c>
      <c r="Y9" s="52">
        <f t="shared" si="1"/>
        <v>225000</v>
      </c>
      <c r="Z9" s="52">
        <f t="shared" si="1"/>
        <v>230000</v>
      </c>
      <c r="AA9" s="52">
        <f t="shared" si="1"/>
        <v>235000</v>
      </c>
      <c r="AB9" s="52">
        <f t="shared" si="1"/>
        <v>240000</v>
      </c>
      <c r="AC9" s="52">
        <f t="shared" si="1"/>
        <v>245000</v>
      </c>
      <c r="AD9" s="52">
        <f t="shared" si="1"/>
        <v>250000</v>
      </c>
      <c r="AE9" s="52">
        <f t="shared" si="1"/>
        <v>255000</v>
      </c>
      <c r="AF9" s="52">
        <f t="shared" si="1"/>
        <v>260000</v>
      </c>
      <c r="AG9" s="52">
        <f t="shared" si="1"/>
        <v>265000</v>
      </c>
      <c r="AH9" s="52">
        <f t="shared" si="1"/>
        <v>270000</v>
      </c>
      <c r="AI9" s="52">
        <f t="shared" si="1"/>
        <v>275000</v>
      </c>
      <c r="AJ9" s="52">
        <f t="shared" si="1"/>
        <v>280000</v>
      </c>
      <c r="AK9" s="52">
        <f t="shared" si="1"/>
        <v>285000</v>
      </c>
      <c r="AL9" s="52">
        <f t="shared" si="1"/>
        <v>290000</v>
      </c>
      <c r="AM9" s="52">
        <f t="shared" si="1"/>
        <v>295000</v>
      </c>
      <c r="AN9" s="52">
        <f t="shared" si="1"/>
        <v>300000</v>
      </c>
      <c r="AO9" s="52">
        <f t="shared" si="1"/>
        <v>305000</v>
      </c>
      <c r="AP9" s="52">
        <f t="shared" si="1"/>
        <v>310000</v>
      </c>
      <c r="AQ9" s="52">
        <f t="shared" si="1"/>
        <v>315000</v>
      </c>
      <c r="AR9" s="52">
        <f t="shared" si="1"/>
        <v>546955</v>
      </c>
      <c r="AS9" s="52">
        <f t="shared" si="1"/>
        <v>600000</v>
      </c>
      <c r="AT9" s="52">
        <f t="shared" si="1"/>
        <v>600000</v>
      </c>
      <c r="AU9" s="52">
        <f t="shared" si="1"/>
        <v>600000</v>
      </c>
      <c r="AV9" s="52">
        <f t="shared" si="1"/>
        <v>600000</v>
      </c>
      <c r="AW9" s="52">
        <f t="shared" si="1"/>
        <v>600000</v>
      </c>
      <c r="AX9" s="52">
        <f t="shared" si="1"/>
        <v>600000</v>
      </c>
      <c r="AY9" s="52">
        <f t="shared" si="1"/>
        <v>600000</v>
      </c>
      <c r="AZ9" s="52">
        <f t="shared" si="1"/>
        <v>600000</v>
      </c>
      <c r="BA9" s="52">
        <f t="shared" si="1"/>
        <v>600000</v>
      </c>
      <c r="BB9" s="52">
        <f t="shared" si="1"/>
        <v>600000</v>
      </c>
    </row>
    <row r="10" spans="2:56" s="50" customFormat="1" ht="0.95" customHeight="1" x14ac:dyDescent="0.25">
      <c r="C10" s="55"/>
      <c r="D10" s="53">
        <v>0</v>
      </c>
      <c r="E10" s="53">
        <f>+D10+1</f>
        <v>1</v>
      </c>
      <c r="F10" s="53">
        <f t="shared" ref="F10:BB10" si="2">+E10+1</f>
        <v>2</v>
      </c>
      <c r="G10" s="53">
        <f t="shared" si="2"/>
        <v>3</v>
      </c>
      <c r="H10" s="53">
        <f t="shared" si="2"/>
        <v>4</v>
      </c>
      <c r="I10" s="53">
        <f t="shared" si="2"/>
        <v>5</v>
      </c>
      <c r="J10" s="53">
        <f t="shared" si="2"/>
        <v>6</v>
      </c>
      <c r="K10" s="53">
        <f t="shared" si="2"/>
        <v>7</v>
      </c>
      <c r="L10" s="53">
        <f t="shared" si="2"/>
        <v>8</v>
      </c>
      <c r="M10" s="53">
        <f t="shared" si="2"/>
        <v>9</v>
      </c>
      <c r="N10" s="53">
        <f t="shared" si="2"/>
        <v>10</v>
      </c>
      <c r="O10" s="53">
        <f t="shared" si="2"/>
        <v>11</v>
      </c>
      <c r="P10" s="53">
        <f t="shared" si="2"/>
        <v>12</v>
      </c>
      <c r="Q10" s="53">
        <f t="shared" si="2"/>
        <v>13</v>
      </c>
      <c r="R10" s="53">
        <f t="shared" si="2"/>
        <v>14</v>
      </c>
      <c r="S10" s="53">
        <f t="shared" si="2"/>
        <v>15</v>
      </c>
      <c r="T10" s="53">
        <f t="shared" si="2"/>
        <v>16</v>
      </c>
      <c r="U10" s="53">
        <f t="shared" si="2"/>
        <v>17</v>
      </c>
      <c r="V10" s="53">
        <f t="shared" si="2"/>
        <v>18</v>
      </c>
      <c r="W10" s="53">
        <f t="shared" si="2"/>
        <v>19</v>
      </c>
      <c r="X10" s="53">
        <f t="shared" si="2"/>
        <v>20</v>
      </c>
      <c r="Y10" s="53">
        <f t="shared" si="2"/>
        <v>21</v>
      </c>
      <c r="Z10" s="53">
        <f t="shared" si="2"/>
        <v>22</v>
      </c>
      <c r="AA10" s="53">
        <f t="shared" si="2"/>
        <v>23</v>
      </c>
      <c r="AB10" s="53">
        <f t="shared" si="2"/>
        <v>24</v>
      </c>
      <c r="AC10" s="53">
        <f t="shared" si="2"/>
        <v>25</v>
      </c>
      <c r="AD10" s="53">
        <f t="shared" si="2"/>
        <v>26</v>
      </c>
      <c r="AE10" s="53">
        <f t="shared" si="2"/>
        <v>27</v>
      </c>
      <c r="AF10" s="53">
        <f t="shared" si="2"/>
        <v>28</v>
      </c>
      <c r="AG10" s="53">
        <f t="shared" si="2"/>
        <v>29</v>
      </c>
      <c r="AH10" s="53">
        <f t="shared" si="2"/>
        <v>30</v>
      </c>
      <c r="AI10" s="53">
        <f t="shared" si="2"/>
        <v>31</v>
      </c>
      <c r="AJ10" s="53">
        <f t="shared" si="2"/>
        <v>32</v>
      </c>
      <c r="AK10" s="53">
        <f t="shared" si="2"/>
        <v>33</v>
      </c>
      <c r="AL10" s="53">
        <f t="shared" si="2"/>
        <v>34</v>
      </c>
      <c r="AM10" s="53">
        <f t="shared" si="2"/>
        <v>35</v>
      </c>
      <c r="AN10" s="53">
        <f t="shared" si="2"/>
        <v>36</v>
      </c>
      <c r="AO10" s="53">
        <f t="shared" si="2"/>
        <v>37</v>
      </c>
      <c r="AP10" s="53">
        <f t="shared" si="2"/>
        <v>38</v>
      </c>
      <c r="AQ10" s="53">
        <f t="shared" si="2"/>
        <v>39</v>
      </c>
      <c r="AR10" s="53">
        <f t="shared" si="2"/>
        <v>40</v>
      </c>
      <c r="AS10" s="53">
        <f t="shared" si="2"/>
        <v>41</v>
      </c>
      <c r="AT10" s="53">
        <f t="shared" si="2"/>
        <v>42</v>
      </c>
      <c r="AU10" s="53">
        <f t="shared" si="2"/>
        <v>43</v>
      </c>
      <c r="AV10" s="53">
        <f t="shared" si="2"/>
        <v>44</v>
      </c>
      <c r="AW10" s="53">
        <f t="shared" si="2"/>
        <v>45</v>
      </c>
      <c r="AX10" s="53">
        <f t="shared" si="2"/>
        <v>46</v>
      </c>
      <c r="AY10" s="53">
        <f t="shared" si="2"/>
        <v>47</v>
      </c>
      <c r="AZ10" s="53">
        <f t="shared" si="2"/>
        <v>48</v>
      </c>
      <c r="BA10" s="53">
        <f t="shared" si="2"/>
        <v>49</v>
      </c>
      <c r="BB10" s="53">
        <f t="shared" si="2"/>
        <v>50</v>
      </c>
    </row>
    <row r="11" spans="2:56" ht="0.95" customHeight="1" x14ac:dyDescent="0.25">
      <c r="C11" s="54" t="str">
        <f>+C7</f>
        <v>Hypothèque 1</v>
      </c>
      <c r="D11" s="52">
        <f>+D7</f>
        <v>390000</v>
      </c>
      <c r="E11" s="52">
        <f>IF(E$10&gt;Durée_Amort,0,E7)</f>
        <v>390000</v>
      </c>
      <c r="F11" s="52">
        <f>IF(F10&gt;Durée_Amort,0,F7)</f>
        <v>390000</v>
      </c>
      <c r="G11" s="52">
        <f>IF(G10&gt;Durée_Amort,0,G7)</f>
        <v>390000</v>
      </c>
      <c r="H11" s="52">
        <f>IF(H10&gt;Durée_Amort,0,H7)</f>
        <v>390000</v>
      </c>
      <c r="I11" s="52">
        <f>IF(I10&gt;Durée_Amort,0,I7)</f>
        <v>390000</v>
      </c>
      <c r="J11" s="52">
        <f>IF(J10&gt;Durée_Amort,0,J7)</f>
        <v>390000</v>
      </c>
      <c r="K11" s="52">
        <f>IF(K10&gt;Durée_Amort,0,K7)</f>
        <v>390000</v>
      </c>
      <c r="L11" s="52">
        <f>IF(L10&gt;Durée_Amort,0,L7)</f>
        <v>390000</v>
      </c>
      <c r="M11" s="52">
        <f>IF(M10&gt;Durée_Amort,0,M7)</f>
        <v>390000</v>
      </c>
      <c r="N11" s="52">
        <f>IF(N10&gt;Durée_Amort,0,N7)</f>
        <v>390000</v>
      </c>
      <c r="O11" s="52">
        <f>IF(O10&gt;Durée_Amort,0,O7)</f>
        <v>390000</v>
      </c>
      <c r="P11" s="52">
        <f>IF(P10&gt;Durée_Amort,0,P7)</f>
        <v>390000</v>
      </c>
      <c r="Q11" s="52">
        <f>IF(Q10&gt;Durée_Amort,0,Q7)</f>
        <v>390000</v>
      </c>
      <c r="R11" s="52">
        <f>IF(R10&gt;Durée_Amort,0,R7)</f>
        <v>390000</v>
      </c>
      <c r="S11" s="52">
        <f>IF(S10&gt;Durée_Amort,0,S7)</f>
        <v>390000</v>
      </c>
      <c r="T11" s="52">
        <f>IF(T10&gt;Durée_Amort,0,T7)</f>
        <v>390000</v>
      </c>
      <c r="U11" s="52">
        <f>IF(U10&gt;Durée_Amort,0,U7)</f>
        <v>390000</v>
      </c>
      <c r="V11" s="52">
        <f>IF(V10&gt;Durée_Amort,0,V7)</f>
        <v>390000</v>
      </c>
      <c r="W11" s="52">
        <f>IF(W10&gt;Durée_Amort,0,W7)</f>
        <v>385000</v>
      </c>
      <c r="X11" s="52">
        <f>IF(X10&gt;Durée_Amort,0,X7)</f>
        <v>380000</v>
      </c>
      <c r="Y11" s="52">
        <f>IF(Y10&gt;Durée_Amort,0,Y7)</f>
        <v>375000</v>
      </c>
      <c r="Z11" s="52">
        <f>IF(Z10&gt;Durée_Amort,0,Z7)</f>
        <v>370000</v>
      </c>
      <c r="AA11" s="52">
        <f>IF(AA10&gt;Durée_Amort,0,AA7)</f>
        <v>365000</v>
      </c>
      <c r="AB11" s="52">
        <f>IF(AB10&gt;Durée_Amort,0,AB7)</f>
        <v>360000</v>
      </c>
      <c r="AC11" s="52">
        <f>IF(AC10&gt;Durée_Amort,0,AC7)</f>
        <v>355000</v>
      </c>
      <c r="AD11" s="52">
        <f>IF(AD10&gt;Durée_Amort,0,AD7)</f>
        <v>350000</v>
      </c>
      <c r="AE11" s="52">
        <f>IF(AE10&gt;Durée_Amort,0,AE7)</f>
        <v>345000</v>
      </c>
      <c r="AF11" s="52">
        <f>IF(AF10&gt;Durée_Amort,0,AF7)</f>
        <v>340000</v>
      </c>
      <c r="AG11" s="52">
        <f>IF(AG10&gt;Durée_Amort,0,AG7)</f>
        <v>335000</v>
      </c>
      <c r="AH11" s="52">
        <f>IF(AH10&gt;Durée_Amort,0,AH7)</f>
        <v>330000</v>
      </c>
      <c r="AI11" s="52">
        <f>IF(AI10&gt;Durée_Amort,0,AI7)</f>
        <v>325000</v>
      </c>
      <c r="AJ11" s="52">
        <f>IF(AJ10&gt;Durée_Amort,0,AJ7)</f>
        <v>320000</v>
      </c>
      <c r="AK11" s="52">
        <f>IF(AK10&gt;Durée_Amort,0,AK7)</f>
        <v>315000</v>
      </c>
      <c r="AL11" s="52">
        <f>IF(AL10&gt;Durée_Amort,0,AL7)</f>
        <v>310000</v>
      </c>
      <c r="AM11" s="52">
        <f>IF(AM10&gt;Durée_Amort,0,AM7)</f>
        <v>305000</v>
      </c>
      <c r="AN11" s="52">
        <f>IF(AN10&gt;Durée_Amort,0,AN7)</f>
        <v>300000</v>
      </c>
      <c r="AO11" s="52">
        <f>IF(AO10&gt;Durée_Amort,0,AO7)</f>
        <v>295000</v>
      </c>
      <c r="AP11" s="52">
        <f>IF(AP10&gt;Durée_Amort,0,AP7)</f>
        <v>290000</v>
      </c>
      <c r="AQ11" s="52">
        <f>IF(AQ10&gt;Durée_Amort,0,AQ7)</f>
        <v>285000</v>
      </c>
      <c r="AR11" s="52">
        <f>IF(AR10&gt;Durée_Amort,0,AR7)</f>
        <v>53045</v>
      </c>
      <c r="AS11" s="52">
        <f>IF(AS10&gt;Durée_Amort,0,AS7)</f>
        <v>0</v>
      </c>
      <c r="AT11" s="52">
        <f>IF(AT10&gt;Durée_Amort,0,AT7)</f>
        <v>0</v>
      </c>
      <c r="AU11" s="52">
        <f>IF(AU10&gt;Durée_Amort,0,AU7)</f>
        <v>0</v>
      </c>
      <c r="AV11" s="52">
        <f>IF(AV10&gt;Durée_Amort,0,AV7)</f>
        <v>0</v>
      </c>
      <c r="AW11" s="52">
        <f>IF(AW10&gt;Durée_Amort,0,AW7)</f>
        <v>0</v>
      </c>
      <c r="AX11" s="52">
        <f>IF(AX10&gt;Durée_Amort,0,AX7)</f>
        <v>0</v>
      </c>
      <c r="AY11" s="52">
        <f>IF(AY10&gt;Durée_Amort,0,AY7)</f>
        <v>0</v>
      </c>
      <c r="AZ11" s="52">
        <f>IF(AZ10&gt;Durée_Amort,0,AZ7)</f>
        <v>0</v>
      </c>
      <c r="BA11" s="52">
        <f>IF(BA10&gt;Durée_Amort,0,BA7)</f>
        <v>0</v>
      </c>
      <c r="BB11" s="52">
        <f>IF(BB10&gt;Durée_Amort,0,BB7)</f>
        <v>0</v>
      </c>
    </row>
    <row r="12" spans="2:56" ht="0.95" customHeight="1" x14ac:dyDescent="0.25">
      <c r="C12" s="54" t="str">
        <f>+C8</f>
        <v>Hypothèque 2</v>
      </c>
      <c r="D12" s="52">
        <f>+D8</f>
        <v>90000</v>
      </c>
      <c r="E12" s="52">
        <f>IF(E$10&gt;Durée_Amort,0,E8)</f>
        <v>85000</v>
      </c>
      <c r="F12" s="52">
        <f>IF(F$10&gt;Durée_Amort,0,F8)</f>
        <v>80000</v>
      </c>
      <c r="G12" s="52">
        <f>IF(G$10&gt;Durée_Amort,0,G8)</f>
        <v>75000</v>
      </c>
      <c r="H12" s="52">
        <f>IF(H$10&gt;Durée_Amort,0,H8)</f>
        <v>70000</v>
      </c>
      <c r="I12" s="52">
        <f>IF(I$10&gt;Durée_Amort,0,I8)</f>
        <v>65000</v>
      </c>
      <c r="J12" s="52">
        <f>IF(J$10&gt;Durée_Amort,0,J8)</f>
        <v>60000</v>
      </c>
      <c r="K12" s="52">
        <f>IF(K$10&gt;Durée_Amort,0,K8)</f>
        <v>55000</v>
      </c>
      <c r="L12" s="52">
        <f>IF(L$10&gt;Durée_Amort,0,L8)</f>
        <v>50000</v>
      </c>
      <c r="M12" s="52">
        <f>IF(M$10&gt;Durée_Amort,0,M8)</f>
        <v>45000</v>
      </c>
      <c r="N12" s="52">
        <f>IF(N$10&gt;Durée_Amort,0,N8)</f>
        <v>40000</v>
      </c>
      <c r="O12" s="52">
        <f>IF(O$10&gt;Durée_Amort,0,O8)</f>
        <v>35000</v>
      </c>
      <c r="P12" s="52">
        <f>IF(P$10&gt;Durée_Amort,0,P8)</f>
        <v>30000</v>
      </c>
      <c r="Q12" s="52">
        <f>IF(Q$10&gt;Durée_Amort,0,Q8)</f>
        <v>25000</v>
      </c>
      <c r="R12" s="52">
        <f>IF(R$10&gt;Durée_Amort,0,R8)</f>
        <v>20000</v>
      </c>
      <c r="S12" s="52">
        <f>IF(S$10&gt;Durée_Amort,0,S8)</f>
        <v>15000</v>
      </c>
      <c r="T12" s="52">
        <f>IF(T$10&gt;Durée_Amort,0,T8)</f>
        <v>10000</v>
      </c>
      <c r="U12" s="52">
        <f>IF(U$10&gt;Durée_Amort,0,U8)</f>
        <v>5000</v>
      </c>
      <c r="V12" s="52">
        <f>IF(V$10&gt;Durée_Amort,0,V8)</f>
        <v>0</v>
      </c>
      <c r="W12" s="52">
        <f>IF(W$10&gt;Durée_Amort,0,W8)</f>
        <v>0</v>
      </c>
      <c r="X12" s="52">
        <f>IF(X$10&gt;Durée_Amort,0,X8)</f>
        <v>0</v>
      </c>
      <c r="Y12" s="52">
        <f>IF(Y$10&gt;Durée_Amort,0,Y8)</f>
        <v>0</v>
      </c>
      <c r="Z12" s="52">
        <f>IF(Z$10&gt;Durée_Amort,0,Z8)</f>
        <v>0</v>
      </c>
      <c r="AA12" s="52">
        <f>IF(AA$10&gt;Durée_Amort,0,AA8)</f>
        <v>0</v>
      </c>
      <c r="AB12" s="52">
        <f>IF(AB$10&gt;Durée_Amort,0,AB8)</f>
        <v>0</v>
      </c>
      <c r="AC12" s="52">
        <f>IF(AC$10&gt;Durée_Amort,0,AC8)</f>
        <v>0</v>
      </c>
      <c r="AD12" s="52">
        <f>IF(AD$10&gt;Durée_Amort,0,AD8)</f>
        <v>0</v>
      </c>
      <c r="AE12" s="52">
        <f>IF(AE$10&gt;Durée_Amort,0,AE8)</f>
        <v>0</v>
      </c>
      <c r="AF12" s="52">
        <f>IF(AF$10&gt;Durée_Amort,0,AF8)</f>
        <v>0</v>
      </c>
      <c r="AG12" s="52">
        <f>IF(AG$10&gt;Durée_Amort,0,AG8)</f>
        <v>0</v>
      </c>
      <c r="AH12" s="52">
        <f>IF(AH$10&gt;Durée_Amort,0,AH8)</f>
        <v>0</v>
      </c>
      <c r="AI12" s="52">
        <f>IF(AI$10&gt;Durée_Amort,0,AI8)</f>
        <v>0</v>
      </c>
      <c r="AJ12" s="52">
        <f>IF(AJ$10&gt;Durée_Amort,0,AJ8)</f>
        <v>0</v>
      </c>
      <c r="AK12" s="52">
        <f>IF(AK$10&gt;Durée_Amort,0,AK8)</f>
        <v>0</v>
      </c>
      <c r="AL12" s="52">
        <f>IF(AL$10&gt;Durée_Amort,0,AL8)</f>
        <v>0</v>
      </c>
      <c r="AM12" s="52">
        <f>IF(AM$10&gt;Durée_Amort,0,AM8)</f>
        <v>0</v>
      </c>
      <c r="AN12" s="52">
        <f>IF(AN$10&gt;Durée_Amort,0,AN8)</f>
        <v>0</v>
      </c>
      <c r="AO12" s="52">
        <f>IF(AO$10&gt;Durée_Amort,0,AO8)</f>
        <v>0</v>
      </c>
      <c r="AP12" s="52">
        <f>IF(AP$10&gt;Durée_Amort,0,AP8)</f>
        <v>0</v>
      </c>
      <c r="AQ12" s="52">
        <f>IF(AQ$10&gt;Durée_Amort,0,AQ8)</f>
        <v>0</v>
      </c>
      <c r="AR12" s="52">
        <f>IF(AR$10&gt;Durée_Amort,0,AR8)</f>
        <v>0</v>
      </c>
      <c r="AS12" s="52">
        <f>IF(AS$10&gt;Durée_Amort,0,AS8)</f>
        <v>0</v>
      </c>
      <c r="AT12" s="52">
        <f>IF(AT$10&gt;Durée_Amort,0,AT8)</f>
        <v>0</v>
      </c>
      <c r="AU12" s="52">
        <f>IF(AU$10&gt;Durée_Amort,0,AU8)</f>
        <v>0</v>
      </c>
      <c r="AV12" s="52">
        <f>IF(AV$10&gt;Durée_Amort,0,AV8)</f>
        <v>0</v>
      </c>
      <c r="AW12" s="52">
        <f>IF(AW$10&gt;Durée_Amort,0,AW8)</f>
        <v>0</v>
      </c>
      <c r="AX12" s="52">
        <f>IF(AX$10&gt;Durée_Amort,0,AX8)</f>
        <v>0</v>
      </c>
      <c r="AY12" s="52">
        <f>IF(AY$10&gt;Durée_Amort,0,AY8)</f>
        <v>0</v>
      </c>
      <c r="AZ12" s="52">
        <f>IF(AZ$10&gt;Durée_Amort,0,AZ8)</f>
        <v>0</v>
      </c>
      <c r="BA12" s="52">
        <f>IF(BA$10&gt;Durée_Amort,0,BA8)</f>
        <v>0</v>
      </c>
      <c r="BB12" s="52">
        <f>IF(BB$10&gt;Durée_Amort,0,BB8)</f>
        <v>0</v>
      </c>
    </row>
    <row r="13" spans="2:56" ht="0.95" customHeight="1" x14ac:dyDescent="0.25">
      <c r="C13" s="54" t="str">
        <f>+C9</f>
        <v>Fonds propres</v>
      </c>
      <c r="D13" s="52">
        <f>+D9</f>
        <v>120000</v>
      </c>
      <c r="E13" s="52">
        <f>IF(E10&gt;Durée_Amort,0,E9)</f>
        <v>125000</v>
      </c>
      <c r="F13" s="52">
        <f>IF(F10&gt;Durée_Amort,0,F9)</f>
        <v>130000</v>
      </c>
      <c r="G13" s="52">
        <f>IF(G10&gt;Durée_Amort,0,G9)</f>
        <v>135000</v>
      </c>
      <c r="H13" s="52">
        <f>IF(H10&gt;Durée_Amort,0,H9)</f>
        <v>140000</v>
      </c>
      <c r="I13" s="52">
        <f>IF(I10&gt;Durée_Amort,0,I9)</f>
        <v>145000</v>
      </c>
      <c r="J13" s="52">
        <f>IF(J10&gt;Durée_Amort,0,J9)</f>
        <v>150000</v>
      </c>
      <c r="K13" s="52">
        <f>IF(K10&gt;Durée_Amort,0,K9)</f>
        <v>155000</v>
      </c>
      <c r="L13" s="52">
        <f>IF(L10&gt;Durée_Amort,0,L9)</f>
        <v>160000</v>
      </c>
      <c r="M13" s="52">
        <f>IF(M10&gt;Durée_Amort,0,M9)</f>
        <v>165000</v>
      </c>
      <c r="N13" s="52">
        <f>IF(N10&gt;Durée_Amort,0,N9)</f>
        <v>170000</v>
      </c>
      <c r="O13" s="52">
        <f>IF(O10&gt;Durée_Amort,0,O9)</f>
        <v>175000</v>
      </c>
      <c r="P13" s="52">
        <f>IF(P10&gt;Durée_Amort,0,P9)</f>
        <v>180000</v>
      </c>
      <c r="Q13" s="52">
        <f>IF(Q10&gt;Durée_Amort,0,Q9)</f>
        <v>185000</v>
      </c>
      <c r="R13" s="52">
        <f>IF(R10&gt;Durée_Amort,0,R9)</f>
        <v>190000</v>
      </c>
      <c r="S13" s="52">
        <f>IF(S10&gt;Durée_Amort,0,S9)</f>
        <v>195000</v>
      </c>
      <c r="T13" s="52">
        <f>IF(T10&gt;Durée_Amort,0,T9)</f>
        <v>200000</v>
      </c>
      <c r="U13" s="52">
        <f>IF(U10&gt;Durée_Amort,0,U9)</f>
        <v>205000</v>
      </c>
      <c r="V13" s="52">
        <f>IF(V10&gt;Durée_Amort,0,V9)</f>
        <v>210000</v>
      </c>
      <c r="W13" s="52">
        <f>IF(W10&gt;Durée_Amort,0,W9)</f>
        <v>215000</v>
      </c>
      <c r="X13" s="52">
        <f>IF(X10&gt;Durée_Amort,0,X9)</f>
        <v>220000</v>
      </c>
      <c r="Y13" s="52">
        <f>IF(Y10&gt;Durée_Amort,0,Y9)</f>
        <v>225000</v>
      </c>
      <c r="Z13" s="52">
        <f>IF(Z10&gt;Durée_Amort,0,Z9)</f>
        <v>230000</v>
      </c>
      <c r="AA13" s="52">
        <f>IF(AA10&gt;Durée_Amort,0,AA9)</f>
        <v>235000</v>
      </c>
      <c r="AB13" s="52">
        <f>IF(AB10&gt;Durée_Amort,0,AB9)</f>
        <v>240000</v>
      </c>
      <c r="AC13" s="52">
        <f>IF(AC10&gt;Durée_Amort,0,AC9)</f>
        <v>245000</v>
      </c>
      <c r="AD13" s="52">
        <f>IF(AD10&gt;Durée_Amort,0,AD9)</f>
        <v>250000</v>
      </c>
      <c r="AE13" s="52">
        <f>IF(AE10&gt;Durée_Amort,0,AE9)</f>
        <v>255000</v>
      </c>
      <c r="AF13" s="52">
        <f>IF(AF10&gt;Durée_Amort,0,AF9)</f>
        <v>260000</v>
      </c>
      <c r="AG13" s="52">
        <f>IF(AG10&gt;Durée_Amort,0,AG9)</f>
        <v>265000</v>
      </c>
      <c r="AH13" s="52">
        <f>IF(AH10&gt;Durée_Amort,0,AH9)</f>
        <v>270000</v>
      </c>
      <c r="AI13" s="52">
        <f>IF(AI10&gt;Durée_Amort,0,AI9)</f>
        <v>275000</v>
      </c>
      <c r="AJ13" s="52">
        <f>IF(AJ10&gt;Durée_Amort,0,AJ9)</f>
        <v>280000</v>
      </c>
      <c r="AK13" s="52">
        <f>IF(AK10&gt;Durée_Amort,0,AK9)</f>
        <v>285000</v>
      </c>
      <c r="AL13" s="52">
        <f>IF(AL10&gt;Durée_Amort,0,AL9)</f>
        <v>290000</v>
      </c>
      <c r="AM13" s="52">
        <f>IF(AM10&gt;Durée_Amort,0,AM9)</f>
        <v>295000</v>
      </c>
      <c r="AN13" s="52">
        <f>IF(AN10&gt;Durée_Amort,0,AN9)</f>
        <v>300000</v>
      </c>
      <c r="AO13" s="52">
        <f>IF(AO10&gt;Durée_Amort,0,AO9)</f>
        <v>305000</v>
      </c>
      <c r="AP13" s="52">
        <f>IF(AP10&gt;Durée_Amort,0,AP9)</f>
        <v>310000</v>
      </c>
      <c r="AQ13" s="52">
        <f>IF(AQ10&gt;Durée_Amort,0,AQ9)</f>
        <v>315000</v>
      </c>
      <c r="AR13" s="52">
        <f>IF(AR10&gt;Durée_Amort,0,AR9)</f>
        <v>546955</v>
      </c>
      <c r="AS13" s="52">
        <f>IF(AS10&gt;Durée_Amort,0,AS9)</f>
        <v>0</v>
      </c>
      <c r="AT13" s="52">
        <f>IF(AT10&gt;Durée_Amort,0,AT9)</f>
        <v>0</v>
      </c>
      <c r="AU13" s="52">
        <f>IF(AU10&gt;Durée_Amort,0,AU9)</f>
        <v>0</v>
      </c>
      <c r="AV13" s="52">
        <f>IF(AV10&gt;Durée_Amort,0,AV9)</f>
        <v>0</v>
      </c>
      <c r="AW13" s="52">
        <f>IF(AW10&gt;Durée_Amort,0,AW9)</f>
        <v>0</v>
      </c>
      <c r="AX13" s="52">
        <f>IF(AX10&gt;Durée_Amort,0,AX9)</f>
        <v>0</v>
      </c>
      <c r="AY13" s="52">
        <f>IF(AY10&gt;Durée_Amort,0,AY9)</f>
        <v>0</v>
      </c>
      <c r="AZ13" s="52">
        <f>IF(AZ10&gt;Durée_Amort,0,AZ9)</f>
        <v>0</v>
      </c>
      <c r="BA13" s="52">
        <f>IF(BA10&gt;Durée_Amort,0,BA9)</f>
        <v>0</v>
      </c>
      <c r="BB13" s="52">
        <f>IF(BB10&gt;Durée_Amort,0,BB9)</f>
        <v>0</v>
      </c>
    </row>
    <row r="14" spans="2:56" ht="24.95" customHeight="1" x14ac:dyDescent="0.25"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</row>
    <row r="15" spans="2:56" ht="24.95" customHeight="1" x14ac:dyDescent="0.25"/>
    <row r="16" spans="2:56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  <row r="23" ht="24.95" customHeight="1" x14ac:dyDescent="0.25"/>
    <row r="24" ht="24.95" customHeight="1" x14ac:dyDescent="0.25"/>
    <row r="25" ht="24.95" customHeight="1" x14ac:dyDescent="0.25"/>
    <row r="26" ht="24.95" customHeight="1" x14ac:dyDescent="0.25"/>
    <row r="27" ht="24.95" customHeight="1" x14ac:dyDescent="0.25"/>
    <row r="28" ht="24.95" customHeight="1" x14ac:dyDescent="0.25"/>
    <row r="29" ht="24.95" customHeight="1" x14ac:dyDescent="0.25"/>
    <row r="30" ht="24.95" customHeight="1" x14ac:dyDescent="0.25"/>
    <row r="31" ht="24.95" customHeight="1" x14ac:dyDescent="0.25"/>
    <row r="32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</sheetData>
  <sheetProtection sheet="1" objects="1" scenarios="1"/>
  <pageMargins left="0.39370078740157483" right="0.1968503937007874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121</vt:i4>
      </vt:variant>
    </vt:vector>
  </HeadingPairs>
  <TitlesOfParts>
    <vt:vector size="123" baseType="lpstr">
      <vt:lpstr>Résumé</vt:lpstr>
      <vt:lpstr>Graphique</vt:lpstr>
      <vt:lpstr>Amort_Direct</vt:lpstr>
      <vt:lpstr>Amort_Total</vt:lpstr>
      <vt:lpstr>Durée_Amort</vt:lpstr>
      <vt:lpstr>F_Propres</vt:lpstr>
      <vt:lpstr>H1_0</vt:lpstr>
      <vt:lpstr>H1_1</vt:lpstr>
      <vt:lpstr>H1_10</vt:lpstr>
      <vt:lpstr>H1_11</vt:lpstr>
      <vt:lpstr>H1_12</vt:lpstr>
      <vt:lpstr>H1_13</vt:lpstr>
      <vt:lpstr>H1_14</vt:lpstr>
      <vt:lpstr>H1_15</vt:lpstr>
      <vt:lpstr>H1_16</vt:lpstr>
      <vt:lpstr>H1_17</vt:lpstr>
      <vt:lpstr>H1_18</vt:lpstr>
      <vt:lpstr>H1_19</vt:lpstr>
      <vt:lpstr>H1_2</vt:lpstr>
      <vt:lpstr>H1_20</vt:lpstr>
      <vt:lpstr>H1_21</vt:lpstr>
      <vt:lpstr>H1_22</vt:lpstr>
      <vt:lpstr>H1_23</vt:lpstr>
      <vt:lpstr>H1_24</vt:lpstr>
      <vt:lpstr>H1_25</vt:lpstr>
      <vt:lpstr>H1_26</vt:lpstr>
      <vt:lpstr>H1_27</vt:lpstr>
      <vt:lpstr>H1_28</vt:lpstr>
      <vt:lpstr>H1_29</vt:lpstr>
      <vt:lpstr>H1_3</vt:lpstr>
      <vt:lpstr>H1_30</vt:lpstr>
      <vt:lpstr>H1_31</vt:lpstr>
      <vt:lpstr>H1_32</vt:lpstr>
      <vt:lpstr>H1_33</vt:lpstr>
      <vt:lpstr>H1_34</vt:lpstr>
      <vt:lpstr>H1_35</vt:lpstr>
      <vt:lpstr>H1_36</vt:lpstr>
      <vt:lpstr>H1_37</vt:lpstr>
      <vt:lpstr>H1_38</vt:lpstr>
      <vt:lpstr>H1_39</vt:lpstr>
      <vt:lpstr>H1_4</vt:lpstr>
      <vt:lpstr>H1_40</vt:lpstr>
      <vt:lpstr>H1_41</vt:lpstr>
      <vt:lpstr>H1_42</vt:lpstr>
      <vt:lpstr>H1_43</vt:lpstr>
      <vt:lpstr>H1_44</vt:lpstr>
      <vt:lpstr>H1_45</vt:lpstr>
      <vt:lpstr>H1_46</vt:lpstr>
      <vt:lpstr>H1_47</vt:lpstr>
      <vt:lpstr>H1_48</vt:lpstr>
      <vt:lpstr>H1_49</vt:lpstr>
      <vt:lpstr>H1_5</vt:lpstr>
      <vt:lpstr>H1_50</vt:lpstr>
      <vt:lpstr>H1_6</vt:lpstr>
      <vt:lpstr>H1_7</vt:lpstr>
      <vt:lpstr>H1_8</vt:lpstr>
      <vt:lpstr>H1_9</vt:lpstr>
      <vt:lpstr>H2_0</vt:lpstr>
      <vt:lpstr>H2_1</vt:lpstr>
      <vt:lpstr>H2_10</vt:lpstr>
      <vt:lpstr>H2_11</vt:lpstr>
      <vt:lpstr>H2_12</vt:lpstr>
      <vt:lpstr>H2_13</vt:lpstr>
      <vt:lpstr>H2_14</vt:lpstr>
      <vt:lpstr>H2_15</vt:lpstr>
      <vt:lpstr>H2_16</vt:lpstr>
      <vt:lpstr>H2_17</vt:lpstr>
      <vt:lpstr>H2_18</vt:lpstr>
      <vt:lpstr>H2_19</vt:lpstr>
      <vt:lpstr>H2_2</vt:lpstr>
      <vt:lpstr>H2_20</vt:lpstr>
      <vt:lpstr>H2_21</vt:lpstr>
      <vt:lpstr>H2_22</vt:lpstr>
      <vt:lpstr>H2_23</vt:lpstr>
      <vt:lpstr>H2_24</vt:lpstr>
      <vt:lpstr>H2_25</vt:lpstr>
      <vt:lpstr>H2_26</vt:lpstr>
      <vt:lpstr>H2_27</vt:lpstr>
      <vt:lpstr>H2_28</vt:lpstr>
      <vt:lpstr>H2_29</vt:lpstr>
      <vt:lpstr>H2_3</vt:lpstr>
      <vt:lpstr>H2_30</vt:lpstr>
      <vt:lpstr>H2_31</vt:lpstr>
      <vt:lpstr>H2_32</vt:lpstr>
      <vt:lpstr>H2_33</vt:lpstr>
      <vt:lpstr>H2_34</vt:lpstr>
      <vt:lpstr>H2_35</vt:lpstr>
      <vt:lpstr>H2_36</vt:lpstr>
      <vt:lpstr>H2_37</vt:lpstr>
      <vt:lpstr>H2_38</vt:lpstr>
      <vt:lpstr>H2_39</vt:lpstr>
      <vt:lpstr>H2_4</vt:lpstr>
      <vt:lpstr>H2_40</vt:lpstr>
      <vt:lpstr>H2_41</vt:lpstr>
      <vt:lpstr>H2_42</vt:lpstr>
      <vt:lpstr>H2_43</vt:lpstr>
      <vt:lpstr>H2_44</vt:lpstr>
      <vt:lpstr>H2_45</vt:lpstr>
      <vt:lpstr>H2_46</vt:lpstr>
      <vt:lpstr>H2_47</vt:lpstr>
      <vt:lpstr>H2_48</vt:lpstr>
      <vt:lpstr>H2_49</vt:lpstr>
      <vt:lpstr>H2_5</vt:lpstr>
      <vt:lpstr>H2_50</vt:lpstr>
      <vt:lpstr>H2_6</vt:lpstr>
      <vt:lpstr>H2_7</vt:lpstr>
      <vt:lpstr>H2_8</vt:lpstr>
      <vt:lpstr>H2_9</vt:lpstr>
      <vt:lpstr>Hypo1_Initial</vt:lpstr>
      <vt:lpstr>Hypo2_Initial</vt:lpstr>
      <vt:lpstr>HypoMaxi1</vt:lpstr>
      <vt:lpstr>HypoTotal</vt:lpstr>
      <vt:lpstr>Tabelle_Capitaux</vt:lpstr>
      <vt:lpstr>Taux_Ep_3A</vt:lpstr>
      <vt:lpstr>Taux_M_I</vt:lpstr>
      <vt:lpstr>Taux1</vt:lpstr>
      <vt:lpstr>Taux2</vt:lpstr>
      <vt:lpstr>Total_IntNet1</vt:lpstr>
      <vt:lpstr>Total_IntNet2</vt:lpstr>
      <vt:lpstr>Val_Gage</vt:lpstr>
      <vt:lpstr>Versement_3a</vt:lpstr>
      <vt:lpstr>Graphique!Zone_d_impression</vt:lpstr>
      <vt:lpstr>Résumé!Zone_d_impression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Kündig</dc:creator>
  <cp:lastModifiedBy>Philippe Kündig</cp:lastModifiedBy>
  <cp:lastPrinted>2018-02-05T12:36:15Z</cp:lastPrinted>
  <dcterms:created xsi:type="dcterms:W3CDTF">2018-02-01T12:25:30Z</dcterms:created>
  <dcterms:modified xsi:type="dcterms:W3CDTF">2018-02-05T12:57:46Z</dcterms:modified>
</cp:coreProperties>
</file>